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OLE_LINK1" localSheetId="0">'2020'!$B$3</definedName>
  </definedNames>
  <calcPr fullCalcOnLoad="1"/>
</workbook>
</file>

<file path=xl/sharedStrings.xml><?xml version="1.0" encoding="utf-8"?>
<sst xmlns="http://schemas.openxmlformats.org/spreadsheetml/2006/main" count="1015" uniqueCount="343">
  <si>
    <t xml:space="preserve">Приложение № 
к решению Совета народных депутатов города Струнино 
От                   № </t>
  </si>
  <si>
    <t xml:space="preserve">Приложение № 4 к решению Совета народных депутатов
 муниципального образования город Струнино
от                          №
</t>
  </si>
  <si>
    <t xml:space="preserve"> Исполнение бюджета муниципального образования город Струнино по разделам и подразделам классификации расходов бюджета  за 2021 год</t>
  </si>
  <si>
    <t>Код ведомства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</si>
  <si>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</si>
  <si>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</si>
  <si>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</si>
  <si>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</si>
  <si>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</si>
  <si>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2020 год, тыс. руб.</t>
  </si>
  <si>
    <t>РСНД №6 от 09.04.2020</t>
  </si>
  <si>
    <t>РСНД №</t>
  </si>
  <si>
    <t>план</t>
  </si>
  <si>
    <t>Исполнение, тыс. руб.</t>
  </si>
  <si>
    <t>Изменения  на 2020 год,  +;- 
Тыс.руб.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</si>
  <si>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</si>
  <si>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</si>
  <si>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</si>
  <si>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</si>
  <si>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</si>
  <si>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</si>
  <si>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</si>
  <si>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</si>
  <si>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</si>
  <si>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</si>
  <si>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</si>
  <si>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</si>
  <si>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</si>
  <si>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</si>
  <si>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</si>
  <si>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</si>
  <si>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</si>
  <si>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</si>
  <si>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</si>
  <si>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</si>
  <si>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</si>
  <si>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</si>
  <si>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</si>
  <si>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</si>
  <si>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</si>
  <si>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</si>
  <si>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</si>
  <si>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</si>
  <si>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</si>
  <si>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</si>
  <si>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</si>
  <si>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</si>
  <si>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</si>
  <si>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Обеспечение проведения выборов и референдумов</t>
  </si>
  <si>
    <t>07</t>
  </si>
  <si>
    <t>Расходы на оказание содействия в подготовке проведения общероссийского голосования, а также в информировании граждан Российской Федерации о его проведении (Закупка товаров, работ и услуг для государственных (муниципальных) нужд)</t>
  </si>
  <si>
    <t>99 9 W0 58530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</si>
  <si>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</si>
  <si>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</si>
  <si>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</si>
  <si>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</si>
  <si>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</si>
  <si>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</si>
  <si>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</si>
  <si>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</si>
  <si>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Проведение мероприятий (Закупка товаров, работ и услуг для государственных (муниципальных) нужд)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</si>
  <si>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</si>
  <si>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</si>
  <si>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</si>
  <si>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</si>
  <si>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</si>
  <si>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</si>
  <si>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</si>
  <si>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</si>
  <si>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</si>
  <si>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</si>
  <si>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</si>
  <si>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</si>
  <si>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</si>
  <si>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</si>
  <si>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</si>
  <si>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</si>
  <si>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</si>
  <si>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</si>
  <si>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</si>
  <si>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</si>
  <si>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</si>
  <si>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</si>
  <si>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(Социальное обеспечение и иные выплаты населению)</t>
  </si>
  <si>
    <t>400</t>
  </si>
  <si>
    <t>Проведение мероприятий по содержанию имущества (Иные бюджетные ассигнования)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</si>
  <si>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</si>
  <si>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</si>
  <si>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</si>
  <si>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>Расходы по сбору и обобщению информации для проведения независимой оценки качества условий оказания услуг (Закупка товаров, работ и услуг для государственных (муниципальных) нужд)</t>
  </si>
  <si>
    <t>99 9 00 20191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</si>
  <si>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</si>
  <si>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</si>
  <si>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</si>
  <si>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</si>
  <si>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</si>
  <si>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</si>
  <si>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</si>
  <si>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</si>
  <si>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</si>
  <si>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</si>
  <si>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</si>
  <si>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</si>
  <si>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</si>
  <si>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</si>
  <si>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</si>
  <si>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</si>
  <si>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</si>
  <si>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</si>
  <si>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</si>
  <si>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</si>
  <si>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</si>
  <si>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</si>
  <si>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</si>
  <si>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</si>
  <si>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</si>
  <si>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</si>
  <si>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</si>
  <si>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</si>
  <si>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</si>
  <si>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</si>
  <si>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</si>
  <si>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</si>
  <si>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</si>
  <si>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</si>
  <si>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</si>
  <si>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</si>
  <si>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</si>
  <si>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</si>
  <si>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</si>
  <si>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</si>
  <si>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</si>
  <si>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</si>
  <si>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</si>
  <si>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</si>
  <si>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</si>
  <si>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</si>
  <si>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</si>
  <si>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</si>
  <si>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</si>
  <si>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</si>
  <si>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</si>
  <si>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</si>
  <si>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</si>
  <si>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</si>
  <si>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</si>
  <si>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</si>
  <si>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</si>
  <si>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Проведение мероприятий  по повышению безопасности дорожного движения (Иные бюджетные ассигнования)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</si>
  <si>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</si>
  <si>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</si>
  <si>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</si>
  <si>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</si>
  <si>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</si>
  <si>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</si>
  <si>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</si>
  <si>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</si>
  <si>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</si>
  <si>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</si>
  <si>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</si>
  <si>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</si>
  <si>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</si>
  <si>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</si>
  <si>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</si>
  <si>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</si>
  <si>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</si>
  <si>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</si>
  <si>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</si>
  <si>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</si>
  <si>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</si>
  <si>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</si>
  <si>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</si>
  <si>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</si>
  <si>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</si>
  <si>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</si>
  <si>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</si>
  <si>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</si>
  <si>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</si>
  <si>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</si>
  <si>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</si>
  <si>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</si>
  <si>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</si>
  <si>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</si>
  <si>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</si>
  <si>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Жилищно-коммунальное хозяйство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</si>
  <si>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</si>
  <si>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</si>
  <si>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</si>
  <si>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</si>
  <si>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 xml:space="preserve">Основное мероприятие "Обеспечение устойчивого сокращения непригодного для проживания жилищного фонда" 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</si>
  <si>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</si>
  <si>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</si>
  <si>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</si>
  <si>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</si>
  <si>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</si>
  <si>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</si>
  <si>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</si>
  <si>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</si>
  <si>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</si>
  <si>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</si>
  <si>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</si>
  <si>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</si>
  <si>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</si>
  <si>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за счет средств местного бюджета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</si>
  <si>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</si>
  <si>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</si>
  <si>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</si>
  <si>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</si>
  <si>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</si>
  <si>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</si>
  <si>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</si>
  <si>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</si>
  <si>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</si>
  <si>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</si>
  <si>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</si>
  <si>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</si>
  <si>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</si>
  <si>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</si>
  <si>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Мероприятия в области коммунального хозяйства (Капитальные вложения в объекты государственной (муниципальной) собственности)</t>
  </si>
  <si>
    <t>99 9 00 40140</t>
  </si>
  <si>
    <t xml:space="preserve"> </t>
  </si>
  <si>
    <t>Мероприятия в области коммунального хозяйства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</si>
  <si>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</si>
  <si>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</si>
  <si>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</si>
  <si>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</si>
  <si>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</si>
  <si>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</si>
  <si>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</si>
  <si>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</si>
  <si>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</si>
  <si>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</si>
  <si>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</si>
  <si>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</si>
  <si>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</si>
  <si>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</si>
  <si>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</si>
  <si>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</si>
  <si>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</si>
  <si>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</si>
  <si>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</si>
  <si>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</si>
  <si>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</si>
  <si>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</si>
  <si>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</si>
  <si>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(Закупка товаров, работ и услуг для государственных (муниципальных) нужд)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</si>
  <si>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</si>
  <si>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областного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</si>
  <si>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местного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</si>
  <si>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</si>
  <si>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в том числе: за счет средств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</si>
  <si>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города Струнино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</si>
  <si>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</si>
  <si>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</si>
  <si>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</si>
  <si>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</si>
  <si>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</si>
  <si>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"Энергосбережение и повышение энергоэффективности в муниципальном образовании город Струнино"</t>
  </si>
  <si>
    <t xml:space="preserve">19 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</si>
  <si>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</si>
  <si>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</si>
  <si>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(Закупка товаров, работ и услуг для государственных (муниципальных) нужд)</t>
  </si>
  <si>
    <t>19 0 01 20140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</si>
  <si>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</si>
  <si>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</si>
  <si>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</si>
  <si>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</si>
  <si>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</si>
  <si>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</si>
  <si>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</si>
  <si>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</si>
  <si>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</si>
  <si>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</si>
  <si>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</si>
  <si>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</si>
  <si>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</si>
  <si>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</si>
  <si>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</si>
  <si>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</si>
  <si>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</si>
  <si>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</si>
  <si>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</si>
  <si>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</si>
  <si>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бюджетов (Предоставление субсидий бюджетным, автономным учреждениям и иным некоммерческим организациям)</t>
  </si>
  <si>
    <t>16 0 01 S0531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</si>
  <si>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</si>
  <si>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</si>
  <si>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</si>
  <si>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</si>
  <si>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</si>
  <si>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</si>
  <si>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</si>
  <si>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</si>
  <si>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</si>
  <si>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</si>
  <si>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</si>
  <si>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</si>
  <si>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</si>
  <si>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</si>
  <si>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</si>
  <si>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за счет средств бюджетов (Предоставление субсидий бюджетным, автономным учреждениям и иным некоммерческим организациям)</t>
  </si>
  <si>
    <t>99 9 00 S0390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</si>
  <si>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</si>
  <si>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</si>
  <si>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</si>
  <si>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«Доплата к пенсии за выслугу лет»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</si>
  <si>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</si>
  <si>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</si>
  <si>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</si>
  <si>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</si>
  <si>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</si>
  <si>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</si>
  <si>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</si>
  <si>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</si>
  <si>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</si>
  <si>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</si>
  <si>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</si>
  <si>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</si>
  <si>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</si>
  <si>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</si>
  <si>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</si>
  <si>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</si>
  <si>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</si>
  <si>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</si>
  <si>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</si>
  <si>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</si>
  <si>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</si>
  <si>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</si>
  <si>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</si>
  <si>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</si>
  <si>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</si>
  <si>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</si>
  <si>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</si>
  <si>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</si>
  <si>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</si>
  <si>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</si>
  <si>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</si>
  <si>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</si>
  <si>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</si>
  <si>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</si>
  <si>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708</t>
  </si>
  <si>
    <t>Территориальная избирательная комиссия Александровского района</t>
  </si>
  <si>
    <t xml:space="preserve"> Всего: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</si>
</sst>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0"/>
    <numFmt numFmtId="166" formatCode="000"/>
    <numFmt numFmtId="167" formatCode="0.00000"/>
    <numFmt numFmtId="168" formatCode="0.0"/>
    <numFmt numFmtId="169" formatCode="0.000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6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5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Arial"/>
      <family val="2"/>
    </font>
    <font>
      <sz val="10"/>
      <color indexed="25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25" fillId="0" borderId="2">
      <alignment horizontal="left" shrinkToFit="1"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3" applyNumberFormat="0" applyAlignment="0" applyProtection="0"/>
    <xf numFmtId="0" fontId="61" fillId="37" borderId="4" applyNumberFormat="0" applyAlignment="0" applyProtection="0"/>
    <xf numFmtId="0" fontId="62" fillId="3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8" borderId="9" applyNumberFormat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4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1" borderId="10" applyNumberFormat="0" applyFont="0" applyAlignment="0" applyProtection="0"/>
    <xf numFmtId="9" fontId="1" fillId="0" borderId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4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64" fontId="27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64" fontId="30" fillId="0" borderId="2" xfId="0" applyNumberFormat="1" applyFont="1" applyFill="1" applyBorder="1" applyAlignment="1">
      <alignment horizontal="center" vertical="center" wrapText="1"/>
    </xf>
    <xf numFmtId="167" fontId="30" fillId="0" borderId="2" xfId="0" applyNumberFormat="1" applyFont="1" applyFill="1" applyBorder="1" applyAlignment="1">
      <alignment horizontal="center" vertical="center" wrapText="1"/>
    </xf>
    <xf numFmtId="168" fontId="30" fillId="0" borderId="2" xfId="0" applyNumberFormat="1" applyFont="1" applyFill="1" applyBorder="1" applyAlignment="1">
      <alignment horizontal="center" vertical="center" wrapText="1"/>
    </xf>
    <xf numFmtId="168" fontId="32" fillId="0" borderId="2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0" fillId="0" borderId="2" xfId="0" applyFont="1" applyBorder="1" applyAlignment="1">
      <alignment horizontal="left" vertical="top" wrapText="1"/>
    </xf>
    <xf numFmtId="49" fontId="30" fillId="43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top" wrapText="1"/>
    </xf>
    <xf numFmtId="49" fontId="27" fillId="43" borderId="2" xfId="0" applyNumberFormat="1" applyFont="1" applyFill="1" applyBorder="1" applyAlignment="1">
      <alignment horizontal="center" vertical="center" wrapText="1"/>
    </xf>
    <xf numFmtId="49" fontId="27" fillId="43" borderId="12" xfId="0" applyNumberFormat="1" applyFont="1" applyFill="1" applyBorder="1" applyAlignment="1">
      <alignment horizontal="left" vertical="center" wrapText="1"/>
    </xf>
    <xf numFmtId="168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top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vertical="top" wrapText="1"/>
    </xf>
    <xf numFmtId="0" fontId="27" fillId="43" borderId="2" xfId="0" applyFont="1" applyFill="1" applyBorder="1" applyAlignment="1">
      <alignment horizontal="left" vertical="top" wrapText="1"/>
    </xf>
    <xf numFmtId="169" fontId="27" fillId="0" borderId="2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left" vertical="top" wrapText="1"/>
    </xf>
    <xf numFmtId="49" fontId="16" fillId="43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vertical="center"/>
    </xf>
    <xf numFmtId="2" fontId="35" fillId="0" borderId="2" xfId="0" applyNumberFormat="1" applyFont="1" applyFill="1" applyBorder="1" applyAlignment="1">
      <alignment horizontal="left" vertical="top" wrapText="1"/>
    </xf>
    <xf numFmtId="0" fontId="35" fillId="0" borderId="2" xfId="0" applyNumberFormat="1" applyFont="1" applyFill="1" applyBorder="1" applyAlignment="1">
      <alignment horizontal="left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/>
    </xf>
    <xf numFmtId="49" fontId="27" fillId="0" borderId="16" xfId="0" applyNumberFormat="1" applyFont="1" applyBorder="1" applyAlignment="1">
      <alignment horizontal="center" vertical="center"/>
    </xf>
    <xf numFmtId="0" fontId="27" fillId="43" borderId="17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/>
    </xf>
    <xf numFmtId="167" fontId="27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left" vertical="center"/>
    </xf>
    <xf numFmtId="0" fontId="35" fillId="0" borderId="17" xfId="0" applyNumberFormat="1" applyFont="1" applyFill="1" applyBorder="1" applyAlignment="1">
      <alignment horizontal="left" vertical="top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/>
    </xf>
    <xf numFmtId="169" fontId="30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>
      <alignment horizontal="center" vertical="center" wrapText="1"/>
    </xf>
    <xf numFmtId="0" fontId="35" fillId="43" borderId="2" xfId="118" applyFont="1" applyFill="1" applyBorder="1" applyAlignment="1">
      <alignment horizontal="left" vertical="top" wrapText="1"/>
      <protection/>
    </xf>
    <xf numFmtId="164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167" fontId="35" fillId="0" borderId="2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left" vertical="center"/>
    </xf>
    <xf numFmtId="0" fontId="32" fillId="0" borderId="2" xfId="0" applyNumberFormat="1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>
      <alignment horizontal="left" vertical="top"/>
    </xf>
    <xf numFmtId="49" fontId="30" fillId="0" borderId="2" xfId="0" applyNumberFormat="1" applyFont="1" applyFill="1" applyBorder="1" applyAlignment="1">
      <alignment horizontal="center" vertical="top"/>
    </xf>
    <xf numFmtId="164" fontId="32" fillId="0" borderId="2" xfId="0" applyNumberFormat="1" applyFont="1" applyFill="1" applyBorder="1" applyAlignment="1">
      <alignment horizontal="center" vertical="center" wrapText="1"/>
    </xf>
    <xf numFmtId="0" fontId="35" fillId="43" borderId="2" xfId="0" applyNumberFormat="1" applyFont="1" applyFill="1" applyBorder="1" applyAlignment="1">
      <alignment horizontal="left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12" xfId="0" applyNumberFormat="1" applyFont="1" applyBorder="1" applyAlignment="1">
      <alignment horizontal="left" vertical="top"/>
    </xf>
    <xf numFmtId="49" fontId="27" fillId="0" borderId="2" xfId="0" applyNumberFormat="1" applyFont="1" applyBorder="1" applyAlignment="1">
      <alignment horizontal="center" vertical="top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left" vertical="center"/>
    </xf>
    <xf numFmtId="0" fontId="35" fillId="0" borderId="2" xfId="0" applyNumberFormat="1" applyFont="1" applyFill="1" applyBorder="1" applyAlignment="1">
      <alignment horizontal="left" vertical="center" wrapText="1"/>
    </xf>
    <xf numFmtId="49" fontId="27" fillId="0" borderId="12" xfId="119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5" fillId="43" borderId="2" xfId="0" applyFont="1" applyFill="1" applyBorder="1" applyAlignment="1">
      <alignment horizontal="left" vertical="top" wrapText="1"/>
    </xf>
    <xf numFmtId="49" fontId="35" fillId="0" borderId="2" xfId="0" applyNumberFormat="1" applyFont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left" vertical="top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left" vertical="top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2" fillId="43" borderId="2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/>
    </xf>
    <xf numFmtId="2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left" vertical="center"/>
    </xf>
    <xf numFmtId="49" fontId="35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 vertical="top" wrapText="1"/>
    </xf>
    <xf numFmtId="0" fontId="38" fillId="43" borderId="21" xfId="0" applyFont="1" applyFill="1" applyBorder="1" applyAlignment="1">
      <alignment/>
    </xf>
    <xf numFmtId="0" fontId="35" fillId="0" borderId="2" xfId="0" applyFont="1" applyBorder="1" applyAlignment="1">
      <alignment wrapText="1"/>
    </xf>
    <xf numFmtId="49" fontId="35" fillId="0" borderId="2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top" wrapText="1"/>
    </xf>
    <xf numFmtId="0" fontId="38" fillId="4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49" fontId="30" fillId="0" borderId="19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49" fontId="35" fillId="0" borderId="18" xfId="0" applyNumberFormat="1" applyFont="1" applyFill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top" wrapText="1"/>
    </xf>
    <xf numFmtId="49" fontId="27" fillId="0" borderId="22" xfId="0" applyNumberFormat="1" applyFont="1" applyFill="1" applyBorder="1" applyAlignment="1" applyProtection="1">
      <alignment horizontal="left" vertical="top" wrapText="1"/>
      <protection/>
    </xf>
    <xf numFmtId="0" fontId="32" fillId="0" borderId="2" xfId="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40" fillId="0" borderId="2" xfId="0" applyNumberFormat="1" applyFont="1" applyFill="1" applyBorder="1" applyAlignment="1">
      <alignment horizontal="center" vertical="center"/>
    </xf>
    <xf numFmtId="0" fontId="35" fillId="43" borderId="14" xfId="118" applyFont="1" applyFill="1" applyBorder="1" applyAlignment="1">
      <alignment horizontal="left" vertical="top" wrapText="1"/>
      <protection/>
    </xf>
    <xf numFmtId="0" fontId="35" fillId="0" borderId="2" xfId="118" applyFont="1" applyFill="1" applyBorder="1" applyAlignment="1">
      <alignment horizontal="left" vertical="top" wrapText="1"/>
      <protection/>
    </xf>
    <xf numFmtId="0" fontId="27" fillId="0" borderId="2" xfId="0" applyFont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vertical="top" wrapText="1"/>
    </xf>
    <xf numFmtId="2" fontId="30" fillId="0" borderId="2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vertical="top"/>
    </xf>
    <xf numFmtId="0" fontId="35" fillId="0" borderId="2" xfId="0" applyFont="1" applyBorder="1" applyAlignment="1">
      <alignment vertical="top" wrapText="1"/>
    </xf>
    <xf numFmtId="0" fontId="32" fillId="0" borderId="2" xfId="118" applyFont="1" applyFill="1" applyBorder="1" applyAlignment="1">
      <alignment horizontal="left" vertical="top" wrapText="1"/>
      <protection/>
    </xf>
    <xf numFmtId="168" fontId="30" fillId="0" borderId="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30" fillId="43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165" fontId="31" fillId="0" borderId="12" xfId="0" applyNumberFormat="1" applyFont="1" applyFill="1" applyBorder="1" applyAlignment="1">
      <alignment horizontal="center" vertical="center" wrapText="1"/>
    </xf>
    <xf numFmtId="166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1 4" xfId="36"/>
    <cellStyle name="Accent 2 1" xfId="37"/>
    <cellStyle name="Accent 2 2" xfId="38"/>
    <cellStyle name="Accent 2 3" xfId="39"/>
    <cellStyle name="Accent 2 4" xfId="40"/>
    <cellStyle name="Accent 3 1" xfId="41"/>
    <cellStyle name="Accent 3 2" xfId="42"/>
    <cellStyle name="Accent 3 3" xfId="43"/>
    <cellStyle name="Accent 3 4" xfId="44"/>
    <cellStyle name="Accent 4" xfId="45"/>
    <cellStyle name="Accent 5" xfId="46"/>
    <cellStyle name="Accent 6" xfId="47"/>
    <cellStyle name="Accent 7" xfId="48"/>
    <cellStyle name="Bad 1" xfId="49"/>
    <cellStyle name="Bad 2" xfId="50"/>
    <cellStyle name="Bad 3" xfId="51"/>
    <cellStyle name="Bad 4" xfId="52"/>
    <cellStyle name="Error 1" xfId="53"/>
    <cellStyle name="Error 2" xfId="54"/>
    <cellStyle name="Error 3" xfId="55"/>
    <cellStyle name="Error 4" xfId="56"/>
    <cellStyle name="Footnote 1" xfId="57"/>
    <cellStyle name="Footnote 2" xfId="58"/>
    <cellStyle name="Footnote 3" xfId="59"/>
    <cellStyle name="Footnote 4" xfId="60"/>
    <cellStyle name="Good 1" xfId="61"/>
    <cellStyle name="Good 2" xfId="62"/>
    <cellStyle name="Good 3" xfId="63"/>
    <cellStyle name="Good 4" xfId="64"/>
    <cellStyle name="Heading 1 1" xfId="65"/>
    <cellStyle name="Heading 1 2" xfId="66"/>
    <cellStyle name="Heading 1 3" xfId="67"/>
    <cellStyle name="Heading 1 4" xfId="68"/>
    <cellStyle name="Heading 2 1" xfId="69"/>
    <cellStyle name="Heading 2 2" xfId="70"/>
    <cellStyle name="Heading 2 3" xfId="71"/>
    <cellStyle name="Heading 2 4" xfId="72"/>
    <cellStyle name="Heading 3" xfId="73"/>
    <cellStyle name="Heading 4" xfId="74"/>
    <cellStyle name="Heading 5" xfId="75"/>
    <cellStyle name="Heading 6" xfId="76"/>
    <cellStyle name="Hyperlink 1" xfId="77"/>
    <cellStyle name="Neutral 1" xfId="78"/>
    <cellStyle name="Neutral 2" xfId="79"/>
    <cellStyle name="Neutral 3" xfId="80"/>
    <cellStyle name="Neutral 4" xfId="81"/>
    <cellStyle name="Note 1" xfId="82"/>
    <cellStyle name="Note 2" xfId="83"/>
    <cellStyle name="Note 3" xfId="84"/>
    <cellStyle name="Note 4" xfId="85"/>
    <cellStyle name="Status 1" xfId="86"/>
    <cellStyle name="Status 2" xfId="87"/>
    <cellStyle name="Status 3" xfId="88"/>
    <cellStyle name="Status 4" xfId="89"/>
    <cellStyle name="Text 1" xfId="90"/>
    <cellStyle name="Text 2" xfId="91"/>
    <cellStyle name="Text 3" xfId="92"/>
    <cellStyle name="Text 4" xfId="93"/>
    <cellStyle name="Warning 1" xfId="94"/>
    <cellStyle name="Warning 2" xfId="95"/>
    <cellStyle name="Warning 3" xfId="96"/>
    <cellStyle name="Warning 4" xfId="97"/>
    <cellStyle name="xl28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2 2" xfId="119"/>
    <cellStyle name="Обычный 3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06"/>
  <sheetViews>
    <sheetView tabSelected="1" zoomScalePageLayoutView="0" workbookViewId="0" topLeftCell="A1">
      <selection activeCell="R10" sqref="R10"/>
    </sheetView>
  </sheetViews>
  <sheetFormatPr defaultColWidth="8.00390625" defaultRowHeight="15.75" customHeight="1"/>
  <cols>
    <col min="1" max="1" width="6.421875" style="0" customWidth="1"/>
    <col min="2" max="2" width="55.57421875" style="0" customWidth="1"/>
    <col min="3" max="3" width="6.8515625" style="0" customWidth="1"/>
    <col min="4" max="4" width="13.57421875" style="0" customWidth="1"/>
    <col min="5" max="5" width="15.140625" style="0" hidden="1" customWidth="1"/>
    <col min="6" max="6" width="8.00390625" style="0" hidden="1" customWidth="1"/>
    <col min="7" max="7" width="12.140625" style="1" hidden="1" customWidth="1"/>
    <col min="8" max="8" width="14.421875" style="0" hidden="1" customWidth="1"/>
    <col min="9" max="9" width="15.140625" style="2" hidden="1" customWidth="1"/>
    <col min="10" max="10" width="14.140625" style="2" hidden="1" customWidth="1"/>
    <col min="11" max="11" width="23.140625" style="2" customWidth="1"/>
    <col min="12" max="12" width="13.28125" style="3" hidden="1" customWidth="1"/>
    <col min="13" max="13" width="12.140625" style="0" customWidth="1"/>
    <col min="14" max="14" width="11.140625" style="0" customWidth="1"/>
    <col min="15" max="15" width="8.00390625" style="0" customWidth="1"/>
    <col min="16" max="16" width="11.140625" style="0" customWidth="1"/>
    <col min="17" max="17" width="8.00390625" style="0" customWidth="1"/>
    <col min="18" max="18" width="11.140625" style="0" customWidth="1"/>
  </cols>
  <sheetData>
    <row r="1" ht="5.25" customHeight="1"/>
    <row r="2" ht="15.75" customHeight="1" hidden="1"/>
    <row r="3" spans="2:12" ht="141.75" customHeight="1">
      <c r="B3" s="4"/>
      <c r="E3" s="5" t="s">
        <v>0</v>
      </c>
      <c r="F3" s="5"/>
      <c r="G3" s="5"/>
      <c r="H3" s="5"/>
      <c r="I3" s="5"/>
      <c r="J3" s="5"/>
      <c r="K3" s="133" t="s">
        <v>1</v>
      </c>
      <c r="L3" s="5"/>
    </row>
    <row r="4" spans="2:12" ht="7.5" customHeight="1">
      <c r="B4" s="6"/>
      <c r="C4" s="6"/>
      <c r="D4" s="6"/>
      <c r="E4" s="5"/>
      <c r="F4" s="5"/>
      <c r="G4" s="5"/>
      <c r="H4" s="5"/>
      <c r="I4" s="5"/>
      <c r="J4" s="5"/>
      <c r="K4" s="7"/>
      <c r="L4" s="5"/>
    </row>
    <row r="5" spans="2:7" ht="10.5" customHeight="1" hidden="1">
      <c r="B5" s="6"/>
      <c r="C5" s="6"/>
      <c r="D5" s="6"/>
      <c r="E5" s="5"/>
      <c r="F5" s="5"/>
      <c r="G5" s="5"/>
    </row>
    <row r="6" spans="2:12" ht="66.75" customHeight="1" hidden="1">
      <c r="B6" s="6"/>
      <c r="C6" s="6"/>
      <c r="D6" s="6"/>
      <c r="E6" s="5"/>
      <c r="F6" s="5"/>
      <c r="G6" s="5"/>
      <c r="H6" s="5"/>
      <c r="I6" s="5"/>
      <c r="J6" s="5"/>
      <c r="K6" s="7"/>
      <c r="L6" s="5"/>
    </row>
    <row r="7" spans="2:11" ht="18.75" customHeight="1">
      <c r="B7" s="137" t="s">
        <v>2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2:11" ht="36.75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2:7" ht="6.75" customHeight="1">
      <c r="B9" s="8"/>
      <c r="C9" s="8"/>
      <c r="D9" s="8"/>
      <c r="E9" s="8"/>
      <c r="F9" s="8"/>
      <c r="G9" s="8"/>
    </row>
    <row r="10" spans="1:12" ht="123" customHeight="1">
      <c r="A10" s="138" t="s">
        <v>3</v>
      </c>
      <c r="B10" s="139" t="s">
        <v>4</v>
      </c>
      <c r="C10" s="140" t="s">
        <v>5</v>
      </c>
      <c r="D10" s="140" t="s">
        <v>6</v>
      </c>
      <c r="E10" s="141" t="s">
        <v>7</v>
      </c>
      <c r="F10" s="142" t="s">
        <v>8</v>
      </c>
      <c r="G10" s="143" t="s">
        <v>9</v>
      </c>
      <c r="H10" s="144" t="s">
        <v>10</v>
      </c>
      <c r="I10" s="134" t="s">
        <v>11</v>
      </c>
      <c r="J10" s="134" t="s">
        <v>12</v>
      </c>
      <c r="K10" s="135" t="s">
        <v>13</v>
      </c>
      <c r="L10" s="136" t="s">
        <v>14</v>
      </c>
    </row>
    <row r="11" spans="1:12" ht="17.25" customHeight="1">
      <c r="A11" s="138"/>
      <c r="B11" s="139"/>
      <c r="C11" s="140"/>
      <c r="D11" s="140"/>
      <c r="E11" s="141"/>
      <c r="F11" s="142"/>
      <c r="G11" s="143"/>
      <c r="H11" s="144"/>
      <c r="I11" s="134"/>
      <c r="J11" s="134"/>
      <c r="K11" s="135"/>
      <c r="L11" s="136"/>
    </row>
    <row r="12" spans="1:12" s="2" customFormat="1" ht="35.25" customHeight="1">
      <c r="A12" s="10">
        <v>703</v>
      </c>
      <c r="B12" s="11" t="s">
        <v>15</v>
      </c>
      <c r="C12" s="12"/>
      <c r="D12" s="12"/>
      <c r="E12" s="13"/>
      <c r="F12" s="12"/>
      <c r="G12" s="14" t="e">
        <f>G13+G64+G70+G82+G129+G189+G194+G217+G234</f>
        <v>#N/A</v>
      </c>
      <c r="H12" s="15" t="e">
        <f>H13+H64+H70+H82+H129+H189+H194+H217+H234</f>
        <v>#N/A</v>
      </c>
      <c r="I12" s="15">
        <f>I13+I64+I70+I82+I129+I189+I194+I217+I234</f>
        <v>146935.13681999996</v>
      </c>
      <c r="J12" s="16">
        <f>J13+J64+J70+J82+J129+J189+J194+J217+J234</f>
        <v>223485.7837</v>
      </c>
      <c r="K12" s="17">
        <f>K13+K64+K70+K82+K129+K189+K194+K217+K234</f>
        <v>321311.6</v>
      </c>
      <c r="L12" s="18">
        <f>J12-I12</f>
        <v>76550.64688000004</v>
      </c>
    </row>
    <row r="13" spans="1:12" ht="21" customHeight="1">
      <c r="A13" s="19"/>
      <c r="B13" s="20" t="s">
        <v>16</v>
      </c>
      <c r="C13" s="21" t="s">
        <v>17</v>
      </c>
      <c r="D13" s="22"/>
      <c r="E13" s="23"/>
      <c r="F13" s="22"/>
      <c r="G13" s="14">
        <f>G14+G18+G22+G36+G40</f>
        <v>20291.979999999996</v>
      </c>
      <c r="H13" s="14" t="e">
        <f>H14+H18+H22+H36+H40</f>
        <v>#N/A</v>
      </c>
      <c r="I13" s="15">
        <f>I14+I18+I22+I36+I40+I33</f>
        <v>20522.785099999997</v>
      </c>
      <c r="J13" s="16">
        <f>J14+J18+J22+J36+J40+J32</f>
        <v>19499.707889999998</v>
      </c>
      <c r="K13" s="16">
        <f>K14+K18+K22+K36+K40+K32</f>
        <v>21191.3</v>
      </c>
      <c r="L13" s="15">
        <f>L14+L18+L22+L36+L40+L33</f>
        <v>-1023.0772099999994</v>
      </c>
    </row>
    <row r="14" spans="1:12" ht="54.75" customHeight="1">
      <c r="A14" s="19"/>
      <c r="B14" s="24" t="s">
        <v>18</v>
      </c>
      <c r="C14" s="25" t="s">
        <v>17</v>
      </c>
      <c r="D14" s="25" t="s">
        <v>19</v>
      </c>
      <c r="E14" s="26"/>
      <c r="F14" s="25"/>
      <c r="G14" s="9">
        <f aca="true" t="shared" si="0" ref="G14:J16">G15</f>
        <v>885.0999999999999</v>
      </c>
      <c r="H14" s="9">
        <f t="shared" si="0"/>
        <v>885.0999999999999</v>
      </c>
      <c r="I14" s="9">
        <f t="shared" si="0"/>
        <v>885.0999999999999</v>
      </c>
      <c r="J14" s="27">
        <f t="shared" si="0"/>
        <v>887.8279199999998</v>
      </c>
      <c r="K14" s="27">
        <v>871.1</v>
      </c>
      <c r="L14" s="18">
        <f aca="true" t="shared" si="1" ref="L14:L149">J14-I14</f>
        <v>2.7279199999999264</v>
      </c>
    </row>
    <row r="15" spans="1:12" ht="15.75" customHeight="1" hidden="1">
      <c r="A15" s="19"/>
      <c r="B15" s="28" t="s">
        <v>20</v>
      </c>
      <c r="C15" s="25" t="s">
        <v>17</v>
      </c>
      <c r="D15" s="25" t="s">
        <v>19</v>
      </c>
      <c r="E15" s="26" t="s">
        <v>21</v>
      </c>
      <c r="F15" s="25"/>
      <c r="G15" s="9">
        <f t="shared" si="0"/>
        <v>885.0999999999999</v>
      </c>
      <c r="H15" s="9">
        <f t="shared" si="0"/>
        <v>885.0999999999999</v>
      </c>
      <c r="I15" s="9">
        <f t="shared" si="0"/>
        <v>885.0999999999999</v>
      </c>
      <c r="J15" s="29">
        <f t="shared" si="0"/>
        <v>887.8279199999998</v>
      </c>
      <c r="K15" s="29">
        <f>K16</f>
        <v>887.8</v>
      </c>
      <c r="L15" s="18">
        <f t="shared" si="1"/>
        <v>2.7279199999999264</v>
      </c>
    </row>
    <row r="16" spans="1:12" ht="15.75" customHeight="1" hidden="1">
      <c r="A16" s="19"/>
      <c r="B16" s="28" t="s">
        <v>22</v>
      </c>
      <c r="C16" s="25" t="s">
        <v>17</v>
      </c>
      <c r="D16" s="25" t="s">
        <v>19</v>
      </c>
      <c r="E16" s="26" t="s">
        <v>23</v>
      </c>
      <c r="F16" s="25"/>
      <c r="G16" s="9">
        <f t="shared" si="0"/>
        <v>885.0999999999999</v>
      </c>
      <c r="H16" s="9">
        <f t="shared" si="0"/>
        <v>885.0999999999999</v>
      </c>
      <c r="I16" s="9">
        <f t="shared" si="0"/>
        <v>885.0999999999999</v>
      </c>
      <c r="J16" s="29">
        <f t="shared" si="0"/>
        <v>887.8279199999998</v>
      </c>
      <c r="K16" s="29">
        <f>K17</f>
        <v>887.8</v>
      </c>
      <c r="L16" s="18">
        <f t="shared" si="1"/>
        <v>2.7279199999999264</v>
      </c>
    </row>
    <row r="17" spans="1:12" ht="97.5" customHeight="1" hidden="1">
      <c r="A17" s="19"/>
      <c r="B17" s="30" t="s">
        <v>24</v>
      </c>
      <c r="C17" s="25" t="s">
        <v>17</v>
      </c>
      <c r="D17" s="25" t="s">
        <v>19</v>
      </c>
      <c r="E17" s="26" t="s">
        <v>25</v>
      </c>
      <c r="F17" s="25" t="s">
        <v>26</v>
      </c>
      <c r="G17" s="9">
        <f>679.8+205.3</f>
        <v>885.0999999999999</v>
      </c>
      <c r="H17" s="9">
        <f>679.8+205.3</f>
        <v>885.0999999999999</v>
      </c>
      <c r="I17" s="9">
        <f>679.8+205.3</f>
        <v>885.0999999999999</v>
      </c>
      <c r="J17" s="29">
        <f>679.8+205.3-1.70491-2.20516+5.0983+1.53969</f>
        <v>887.8279199999998</v>
      </c>
      <c r="K17" s="29">
        <v>887.8</v>
      </c>
      <c r="L17" s="18">
        <f t="shared" si="1"/>
        <v>2.7279199999999264</v>
      </c>
    </row>
    <row r="18" spans="1:12" ht="68.25" customHeight="1">
      <c r="A18" s="19"/>
      <c r="B18" s="31" t="s">
        <v>27</v>
      </c>
      <c r="C18" s="25" t="s">
        <v>17</v>
      </c>
      <c r="D18" s="25" t="s">
        <v>28</v>
      </c>
      <c r="E18" s="26"/>
      <c r="F18" s="25"/>
      <c r="G18" s="9">
        <f aca="true" t="shared" si="2" ref="G18:J20">G19</f>
        <v>31</v>
      </c>
      <c r="H18" s="9">
        <f t="shared" si="2"/>
        <v>31</v>
      </c>
      <c r="I18" s="9">
        <f t="shared" si="2"/>
        <v>31</v>
      </c>
      <c r="J18" s="29">
        <f t="shared" si="2"/>
        <v>31</v>
      </c>
      <c r="K18" s="29">
        <v>30</v>
      </c>
      <c r="L18" s="32">
        <f t="shared" si="1"/>
        <v>0</v>
      </c>
    </row>
    <row r="19" spans="1:12" ht="15.75" customHeight="1" hidden="1">
      <c r="A19" s="19"/>
      <c r="B19" s="28" t="s">
        <v>20</v>
      </c>
      <c r="C19" s="25" t="s">
        <v>17</v>
      </c>
      <c r="D19" s="25" t="s">
        <v>28</v>
      </c>
      <c r="E19" s="26" t="s">
        <v>21</v>
      </c>
      <c r="F19" s="25"/>
      <c r="G19" s="9">
        <f t="shared" si="2"/>
        <v>31</v>
      </c>
      <c r="H19" s="9">
        <f t="shared" si="2"/>
        <v>31</v>
      </c>
      <c r="I19" s="9">
        <f t="shared" si="2"/>
        <v>31</v>
      </c>
      <c r="J19" s="29">
        <f t="shared" si="2"/>
        <v>31</v>
      </c>
      <c r="K19" s="29">
        <f>K20</f>
        <v>31</v>
      </c>
      <c r="L19" s="32">
        <f t="shared" si="1"/>
        <v>0</v>
      </c>
    </row>
    <row r="20" spans="1:12" ht="15.75" customHeight="1" hidden="1">
      <c r="A20" s="19"/>
      <c r="B20" s="28" t="s">
        <v>22</v>
      </c>
      <c r="C20" s="25" t="s">
        <v>17</v>
      </c>
      <c r="D20" s="25" t="s">
        <v>28</v>
      </c>
      <c r="E20" s="26" t="s">
        <v>23</v>
      </c>
      <c r="F20" s="25"/>
      <c r="G20" s="9">
        <f t="shared" si="2"/>
        <v>31</v>
      </c>
      <c r="H20" s="9">
        <f t="shared" si="2"/>
        <v>31</v>
      </c>
      <c r="I20" s="9">
        <f t="shared" si="2"/>
        <v>31</v>
      </c>
      <c r="J20" s="29">
        <f t="shared" si="2"/>
        <v>31</v>
      </c>
      <c r="K20" s="29">
        <f>K21</f>
        <v>31</v>
      </c>
      <c r="L20" s="32">
        <f t="shared" si="1"/>
        <v>0</v>
      </c>
    </row>
    <row r="21" spans="1:12" ht="47.25" customHeight="1" hidden="1">
      <c r="A21" s="19"/>
      <c r="B21" s="33" t="s">
        <v>29</v>
      </c>
      <c r="C21" s="25" t="s">
        <v>17</v>
      </c>
      <c r="D21" s="25" t="s">
        <v>28</v>
      </c>
      <c r="E21" s="26" t="s">
        <v>30</v>
      </c>
      <c r="F21" s="25" t="s">
        <v>31</v>
      </c>
      <c r="G21" s="9">
        <f>1+30</f>
        <v>31</v>
      </c>
      <c r="H21" s="9">
        <f>1+30</f>
        <v>31</v>
      </c>
      <c r="I21" s="9">
        <f>1+30</f>
        <v>31</v>
      </c>
      <c r="J21" s="29">
        <f>1+30</f>
        <v>31</v>
      </c>
      <c r="K21" s="29">
        <f>1+30</f>
        <v>31</v>
      </c>
      <c r="L21" s="32">
        <f t="shared" si="1"/>
        <v>0</v>
      </c>
    </row>
    <row r="22" spans="1:12" ht="72" customHeight="1">
      <c r="A22" s="19"/>
      <c r="B22" s="28" t="s">
        <v>32</v>
      </c>
      <c r="C22" s="25" t="s">
        <v>17</v>
      </c>
      <c r="D22" s="25" t="s">
        <v>33</v>
      </c>
      <c r="E22" s="26"/>
      <c r="F22" s="34"/>
      <c r="G22" s="9">
        <f aca="true" t="shared" si="3" ref="G22:J23">G23</f>
        <v>4388.999999999999</v>
      </c>
      <c r="H22" s="9">
        <f t="shared" si="3"/>
        <v>3971.3559999999998</v>
      </c>
      <c r="I22" s="9">
        <f t="shared" si="3"/>
        <v>3971.3559999999998</v>
      </c>
      <c r="J22" s="29">
        <f t="shared" si="3"/>
        <v>3057.9262599999997</v>
      </c>
      <c r="K22" s="29">
        <v>3215.8</v>
      </c>
      <c r="L22" s="18">
        <f t="shared" si="1"/>
        <v>-913.42974</v>
      </c>
    </row>
    <row r="23" spans="1:12" ht="15.75" customHeight="1" hidden="1">
      <c r="A23" s="19"/>
      <c r="B23" s="31" t="s">
        <v>34</v>
      </c>
      <c r="C23" s="25" t="s">
        <v>17</v>
      </c>
      <c r="D23" s="25" t="s">
        <v>33</v>
      </c>
      <c r="E23" s="26" t="s">
        <v>35</v>
      </c>
      <c r="F23" s="25"/>
      <c r="G23" s="9">
        <f t="shared" si="3"/>
        <v>4388.999999999999</v>
      </c>
      <c r="H23" s="9">
        <f t="shared" si="3"/>
        <v>3971.3559999999998</v>
      </c>
      <c r="I23" s="9">
        <f t="shared" si="3"/>
        <v>3971.3559999999998</v>
      </c>
      <c r="J23" s="29">
        <f t="shared" si="3"/>
        <v>3057.9262599999997</v>
      </c>
      <c r="K23" s="29">
        <f>K24</f>
        <v>3048.2046</v>
      </c>
      <c r="L23" s="18">
        <f t="shared" si="1"/>
        <v>-913.42974</v>
      </c>
    </row>
    <row r="24" spans="1:12" ht="15.75" customHeight="1" hidden="1">
      <c r="A24" s="19"/>
      <c r="B24" s="35" t="s">
        <v>22</v>
      </c>
      <c r="C24" s="36" t="s">
        <v>17</v>
      </c>
      <c r="D24" s="36" t="s">
        <v>33</v>
      </c>
      <c r="E24" s="37" t="s">
        <v>36</v>
      </c>
      <c r="F24" s="36"/>
      <c r="G24" s="9">
        <f>G25+G26+G27+G28</f>
        <v>4388.999999999999</v>
      </c>
      <c r="H24" s="9">
        <f>H25+H26+H27+H28</f>
        <v>3971.3559999999998</v>
      </c>
      <c r="I24" s="9">
        <f>I25+I26+I27+I28</f>
        <v>3971.3559999999998</v>
      </c>
      <c r="J24" s="29">
        <f>J25+J26+J27+J28</f>
        <v>3057.9262599999997</v>
      </c>
      <c r="K24" s="29">
        <f>K25+K26+K27+K28</f>
        <v>3048.2046</v>
      </c>
      <c r="L24" s="18">
        <f t="shared" si="1"/>
        <v>-913.42974</v>
      </c>
    </row>
    <row r="25" spans="1:12" ht="94.5" customHeight="1" hidden="1">
      <c r="A25" s="19"/>
      <c r="B25" s="38" t="s">
        <v>37</v>
      </c>
      <c r="C25" s="36" t="s">
        <v>17</v>
      </c>
      <c r="D25" s="36" t="s">
        <v>33</v>
      </c>
      <c r="E25" s="37" t="s">
        <v>38</v>
      </c>
      <c r="F25" s="36" t="s">
        <v>26</v>
      </c>
      <c r="G25" s="9">
        <f>813.9+245.8</f>
        <v>1059.7</v>
      </c>
      <c r="H25" s="9">
        <f>813.9+245.8+19.2+5.8</f>
        <v>1084.7</v>
      </c>
      <c r="I25" s="9">
        <f>813.9+245.8+19.2+5.8</f>
        <v>1084.7</v>
      </c>
      <c r="J25" s="29">
        <v>986.6</v>
      </c>
      <c r="K25" s="29">
        <v>986.6</v>
      </c>
      <c r="L25" s="18">
        <f t="shared" si="1"/>
        <v>-98.10000000000002</v>
      </c>
    </row>
    <row r="26" spans="1:12" ht="94.5" customHeight="1" hidden="1">
      <c r="A26" s="19"/>
      <c r="B26" s="39" t="s">
        <v>39</v>
      </c>
      <c r="C26" s="40" t="s">
        <v>17</v>
      </c>
      <c r="D26" s="40" t="s">
        <v>33</v>
      </c>
      <c r="E26" s="41" t="s">
        <v>25</v>
      </c>
      <c r="F26" s="36" t="s">
        <v>26</v>
      </c>
      <c r="G26" s="9">
        <f>1541.6+465.9</f>
        <v>2007.5</v>
      </c>
      <c r="H26" s="9">
        <f>1541.6+465.9+19.2+5.8</f>
        <v>2032.5</v>
      </c>
      <c r="I26" s="9">
        <f>1541.6+465.9+19.2+5.8</f>
        <v>2032.5</v>
      </c>
      <c r="J26" s="29">
        <v>1493.9</v>
      </c>
      <c r="K26" s="29">
        <v>1493.9</v>
      </c>
      <c r="L26" s="18">
        <f t="shared" si="1"/>
        <v>-538.5999999999999</v>
      </c>
    </row>
    <row r="27" spans="1:12" ht="47.25" customHeight="1" hidden="1">
      <c r="A27" s="19"/>
      <c r="B27" s="39" t="s">
        <v>40</v>
      </c>
      <c r="C27" s="42" t="s">
        <v>17</v>
      </c>
      <c r="D27" s="42" t="s">
        <v>33</v>
      </c>
      <c r="E27" s="43" t="s">
        <v>30</v>
      </c>
      <c r="F27" s="36" t="s">
        <v>31</v>
      </c>
      <c r="G27" s="9">
        <v>1266.1</v>
      </c>
      <c r="H27" s="9">
        <f>1266.1-429.244-38.4</f>
        <v>798.4559999999999</v>
      </c>
      <c r="I27" s="9">
        <f>1266.1-429.244-38.4</f>
        <v>798.4559999999999</v>
      </c>
      <c r="J27" s="29">
        <f>1266.1-429.244-38.4-268.10174-1.0326</f>
        <v>529.3216599999998</v>
      </c>
      <c r="K27" s="29">
        <v>519.6</v>
      </c>
      <c r="L27" s="18">
        <f t="shared" si="1"/>
        <v>-269.13434000000007</v>
      </c>
    </row>
    <row r="28" spans="1:12" ht="31.5" customHeight="1" hidden="1">
      <c r="A28" s="19"/>
      <c r="B28" s="39" t="s">
        <v>41</v>
      </c>
      <c r="C28" s="42" t="s">
        <v>17</v>
      </c>
      <c r="D28" s="42" t="s">
        <v>33</v>
      </c>
      <c r="E28" s="43" t="s">
        <v>30</v>
      </c>
      <c r="F28" s="36" t="s">
        <v>42</v>
      </c>
      <c r="G28" s="9">
        <f>55.7</f>
        <v>55.7</v>
      </c>
      <c r="H28" s="9">
        <f>55.7</f>
        <v>55.7</v>
      </c>
      <c r="I28" s="9">
        <f>55.7</f>
        <v>55.7</v>
      </c>
      <c r="J28" s="29">
        <f>55.7-8.628+1.0326</f>
        <v>48.104600000000005</v>
      </c>
      <c r="K28" s="29">
        <f>55.7-8.628+1.0326</f>
        <v>48.104600000000005</v>
      </c>
      <c r="L28" s="18">
        <f t="shared" si="1"/>
        <v>-7.595399999999998</v>
      </c>
    </row>
    <row r="29" spans="1:12" ht="50.25" customHeight="1" hidden="1">
      <c r="A29" s="19"/>
      <c r="B29" s="24" t="s">
        <v>43</v>
      </c>
      <c r="C29" s="42" t="s">
        <v>17</v>
      </c>
      <c r="D29" s="42" t="s">
        <v>33</v>
      </c>
      <c r="E29" s="37" t="s">
        <v>17</v>
      </c>
      <c r="F29" s="36"/>
      <c r="G29" s="9"/>
      <c r="H29" s="9"/>
      <c r="I29" s="9">
        <v>0</v>
      </c>
      <c r="J29" s="9">
        <v>0</v>
      </c>
      <c r="K29" s="9">
        <v>0</v>
      </c>
      <c r="L29" s="32">
        <f t="shared" si="1"/>
        <v>0</v>
      </c>
    </row>
    <row r="30" spans="1:12" ht="47.25" customHeight="1" hidden="1">
      <c r="A30" s="19"/>
      <c r="B30" s="39" t="s">
        <v>44</v>
      </c>
      <c r="C30" s="42" t="s">
        <v>17</v>
      </c>
      <c r="D30" s="42" t="s">
        <v>33</v>
      </c>
      <c r="E30" s="37" t="s">
        <v>45</v>
      </c>
      <c r="F30" s="36"/>
      <c r="G30" s="9"/>
      <c r="H30" s="9"/>
      <c r="I30" s="9">
        <v>0</v>
      </c>
      <c r="J30" s="9">
        <v>0</v>
      </c>
      <c r="K30" s="9">
        <v>0</v>
      </c>
      <c r="L30" s="32">
        <f t="shared" si="1"/>
        <v>0</v>
      </c>
    </row>
    <row r="31" spans="1:12" ht="31.5" customHeight="1" hidden="1">
      <c r="A31" s="19"/>
      <c r="B31" s="33" t="s">
        <v>46</v>
      </c>
      <c r="C31" s="42" t="s">
        <v>17</v>
      </c>
      <c r="D31" s="42" t="s">
        <v>33</v>
      </c>
      <c r="E31" s="37" t="s">
        <v>47</v>
      </c>
      <c r="F31" s="36" t="s">
        <v>31</v>
      </c>
      <c r="G31" s="9"/>
      <c r="H31" s="9"/>
      <c r="I31" s="9">
        <v>0</v>
      </c>
      <c r="J31" s="9">
        <v>0</v>
      </c>
      <c r="K31" s="9">
        <v>0</v>
      </c>
      <c r="L31" s="32">
        <f t="shared" si="1"/>
        <v>0</v>
      </c>
    </row>
    <row r="32" spans="1:12" ht="15.75" customHeight="1">
      <c r="A32" s="19"/>
      <c r="B32" s="44" t="s">
        <v>48</v>
      </c>
      <c r="C32" s="45" t="s">
        <v>17</v>
      </c>
      <c r="D32" s="42" t="s">
        <v>49</v>
      </c>
      <c r="E32" s="37"/>
      <c r="F32" s="36"/>
      <c r="G32" s="9"/>
      <c r="H32" s="9"/>
      <c r="I32" s="9">
        <f aca="true" t="shared" si="4" ref="I32:J34">I33</f>
        <v>139.378</v>
      </c>
      <c r="J32" s="29">
        <f t="shared" si="4"/>
        <v>139.378</v>
      </c>
      <c r="K32" s="29">
        <f>69.1</f>
        <v>69.1</v>
      </c>
      <c r="L32" s="32">
        <f t="shared" si="1"/>
        <v>0</v>
      </c>
    </row>
    <row r="33" spans="1:12" ht="15.75" customHeight="1" hidden="1">
      <c r="A33" s="19"/>
      <c r="B33" s="46" t="s">
        <v>34</v>
      </c>
      <c r="C33" s="42" t="s">
        <v>17</v>
      </c>
      <c r="D33" s="42" t="s">
        <v>49</v>
      </c>
      <c r="E33" s="37" t="s">
        <v>21</v>
      </c>
      <c r="F33" s="36"/>
      <c r="G33" s="9"/>
      <c r="H33" s="9"/>
      <c r="I33" s="9">
        <f t="shared" si="4"/>
        <v>139.378</v>
      </c>
      <c r="J33" s="29">
        <f t="shared" si="4"/>
        <v>139.378</v>
      </c>
      <c r="K33" s="29">
        <f>K34</f>
        <v>139.378</v>
      </c>
      <c r="L33" s="32">
        <f t="shared" si="1"/>
        <v>0</v>
      </c>
    </row>
    <row r="34" spans="1:12" ht="15.75" customHeight="1" hidden="1">
      <c r="A34" s="19"/>
      <c r="B34" s="35" t="s">
        <v>22</v>
      </c>
      <c r="C34" s="42" t="s">
        <v>17</v>
      </c>
      <c r="D34" s="42" t="s">
        <v>49</v>
      </c>
      <c r="E34" s="37" t="s">
        <v>36</v>
      </c>
      <c r="F34" s="36"/>
      <c r="G34" s="9"/>
      <c r="H34" s="9"/>
      <c r="I34" s="9">
        <f t="shared" si="4"/>
        <v>139.378</v>
      </c>
      <c r="J34" s="29">
        <f t="shared" si="4"/>
        <v>139.378</v>
      </c>
      <c r="K34" s="29">
        <f>K35</f>
        <v>139.378</v>
      </c>
      <c r="L34" s="32">
        <f t="shared" si="1"/>
        <v>0</v>
      </c>
    </row>
    <row r="35" spans="1:12" ht="75.75" customHeight="1" hidden="1">
      <c r="A35" s="19"/>
      <c r="B35" s="39" t="s">
        <v>50</v>
      </c>
      <c r="C35" s="42" t="s">
        <v>17</v>
      </c>
      <c r="D35" s="42" t="s">
        <v>49</v>
      </c>
      <c r="E35" s="37" t="s">
        <v>51</v>
      </c>
      <c r="F35" s="36" t="s">
        <v>31</v>
      </c>
      <c r="G35" s="9">
        <v>0</v>
      </c>
      <c r="H35" s="9">
        <v>0</v>
      </c>
      <c r="I35" s="9">
        <f>0+139.378</f>
        <v>139.378</v>
      </c>
      <c r="J35" s="29">
        <f>0+139.378</f>
        <v>139.378</v>
      </c>
      <c r="K35" s="29">
        <f>0+139.378</f>
        <v>139.378</v>
      </c>
      <c r="L35" s="32">
        <f t="shared" si="1"/>
        <v>0</v>
      </c>
    </row>
    <row r="36" spans="1:12" ht="15" customHeight="1" hidden="1">
      <c r="A36" s="19"/>
      <c r="B36" s="47" t="s">
        <v>52</v>
      </c>
      <c r="C36" s="36" t="s">
        <v>17</v>
      </c>
      <c r="D36" s="36" t="s">
        <v>53</v>
      </c>
      <c r="E36" s="37"/>
      <c r="F36" s="36"/>
      <c r="G36" s="9">
        <f aca="true" t="shared" si="5" ref="G36:K38">G37</f>
        <v>20</v>
      </c>
      <c r="H36" s="9">
        <f t="shared" si="5"/>
        <v>20</v>
      </c>
      <c r="I36" s="9">
        <f t="shared" si="5"/>
        <v>20</v>
      </c>
      <c r="J36" s="9">
        <f t="shared" si="5"/>
        <v>0</v>
      </c>
      <c r="K36" s="9">
        <f t="shared" si="5"/>
        <v>0</v>
      </c>
      <c r="L36" s="32">
        <f t="shared" si="1"/>
        <v>-20</v>
      </c>
    </row>
    <row r="37" spans="1:12" ht="15" customHeight="1" hidden="1">
      <c r="A37" s="19"/>
      <c r="B37" s="24" t="s">
        <v>20</v>
      </c>
      <c r="C37" s="36" t="s">
        <v>17</v>
      </c>
      <c r="D37" s="36" t="s">
        <v>53</v>
      </c>
      <c r="E37" s="37" t="s">
        <v>35</v>
      </c>
      <c r="F37" s="36"/>
      <c r="G37" s="9">
        <f t="shared" si="5"/>
        <v>20</v>
      </c>
      <c r="H37" s="9">
        <f t="shared" si="5"/>
        <v>20</v>
      </c>
      <c r="I37" s="9">
        <f t="shared" si="5"/>
        <v>20</v>
      </c>
      <c r="J37" s="9">
        <f t="shared" si="5"/>
        <v>0</v>
      </c>
      <c r="K37" s="9">
        <f t="shared" si="5"/>
        <v>0</v>
      </c>
      <c r="L37" s="32">
        <f t="shared" si="1"/>
        <v>-20</v>
      </c>
    </row>
    <row r="38" spans="1:12" ht="20.25" customHeight="1" hidden="1">
      <c r="A38" s="19"/>
      <c r="B38" s="24" t="s">
        <v>54</v>
      </c>
      <c r="C38" s="36" t="s">
        <v>17</v>
      </c>
      <c r="D38" s="36" t="s">
        <v>53</v>
      </c>
      <c r="E38" s="37" t="s">
        <v>36</v>
      </c>
      <c r="F38" s="36"/>
      <c r="G38" s="9">
        <f t="shared" si="5"/>
        <v>20</v>
      </c>
      <c r="H38" s="9">
        <f t="shared" si="5"/>
        <v>20</v>
      </c>
      <c r="I38" s="9">
        <f t="shared" si="5"/>
        <v>20</v>
      </c>
      <c r="J38" s="9">
        <f t="shared" si="5"/>
        <v>0</v>
      </c>
      <c r="K38" s="9">
        <f t="shared" si="5"/>
        <v>0</v>
      </c>
      <c r="L38" s="32">
        <f t="shared" si="1"/>
        <v>-20</v>
      </c>
    </row>
    <row r="39" spans="1:12" ht="46.5" customHeight="1" hidden="1">
      <c r="A39" s="19"/>
      <c r="B39" s="24" t="s">
        <v>55</v>
      </c>
      <c r="C39" s="36" t="s">
        <v>17</v>
      </c>
      <c r="D39" s="36" t="s">
        <v>53</v>
      </c>
      <c r="E39" s="37" t="s">
        <v>56</v>
      </c>
      <c r="F39" s="36" t="s">
        <v>42</v>
      </c>
      <c r="G39" s="9">
        <v>20</v>
      </c>
      <c r="H39" s="9">
        <v>20</v>
      </c>
      <c r="I39" s="9">
        <v>20</v>
      </c>
      <c r="J39" s="9">
        <f>20-20</f>
        <v>0</v>
      </c>
      <c r="K39" s="9">
        <f>20-20</f>
        <v>0</v>
      </c>
      <c r="L39" s="32">
        <f t="shared" si="1"/>
        <v>-20</v>
      </c>
    </row>
    <row r="40" spans="1:12" ht="22.5" customHeight="1">
      <c r="A40" s="19"/>
      <c r="B40" s="24" t="s">
        <v>57</v>
      </c>
      <c r="C40" s="36" t="s">
        <v>17</v>
      </c>
      <c r="D40" s="36" t="s">
        <v>58</v>
      </c>
      <c r="E40" s="37"/>
      <c r="F40" s="36"/>
      <c r="G40" s="9">
        <f>G41+G46+G53+G60</f>
        <v>14966.88</v>
      </c>
      <c r="H40" s="9" t="e">
        <f>H41+H46+H53+H60</f>
        <v>#N/A</v>
      </c>
      <c r="I40" s="48">
        <f>I41+I46+I53+I60</f>
        <v>15475.951099999998</v>
      </c>
      <c r="J40" s="29">
        <f>J41+J46+J53+J60</f>
        <v>15383.57571</v>
      </c>
      <c r="K40" s="29">
        <v>17005.3</v>
      </c>
      <c r="L40" s="18">
        <f t="shared" si="1"/>
        <v>-92.37538999999924</v>
      </c>
    </row>
    <row r="41" spans="1:12" ht="46.5" customHeight="1" hidden="1">
      <c r="A41" s="19"/>
      <c r="B41" s="20" t="s">
        <v>59</v>
      </c>
      <c r="C41" s="49" t="s">
        <v>17</v>
      </c>
      <c r="D41" s="49" t="s">
        <v>58</v>
      </c>
      <c r="E41" s="50" t="s">
        <v>17</v>
      </c>
      <c r="F41" s="49"/>
      <c r="G41" s="14">
        <f>G42+G44</f>
        <v>210</v>
      </c>
      <c r="H41" s="14">
        <f>H42+H44</f>
        <v>210</v>
      </c>
      <c r="I41" s="14">
        <f>I42+I44</f>
        <v>210</v>
      </c>
      <c r="J41" s="16">
        <f>J42+J44</f>
        <v>200</v>
      </c>
      <c r="K41" s="16">
        <f>K42+K44</f>
        <v>200</v>
      </c>
      <c r="L41" s="32">
        <f t="shared" si="1"/>
        <v>-10</v>
      </c>
    </row>
    <row r="42" spans="1:12" ht="45.75" customHeight="1" hidden="1">
      <c r="A42" s="19"/>
      <c r="B42" s="39" t="s">
        <v>44</v>
      </c>
      <c r="C42" s="36" t="s">
        <v>17</v>
      </c>
      <c r="D42" s="36" t="s">
        <v>58</v>
      </c>
      <c r="E42" s="37" t="s">
        <v>45</v>
      </c>
      <c r="F42" s="36"/>
      <c r="G42" s="9">
        <f>G43</f>
        <v>10</v>
      </c>
      <c r="H42" s="9">
        <f>H43</f>
        <v>10</v>
      </c>
      <c r="I42" s="9">
        <f>I43</f>
        <v>10</v>
      </c>
      <c r="J42" s="29">
        <f>J43</f>
        <v>0</v>
      </c>
      <c r="K42" s="29">
        <f>K43</f>
        <v>0</v>
      </c>
      <c r="L42" s="32">
        <f t="shared" si="1"/>
        <v>-10</v>
      </c>
    </row>
    <row r="43" spans="1:12" ht="38.25" customHeight="1" hidden="1">
      <c r="A43" s="19"/>
      <c r="B43" s="39" t="s">
        <v>60</v>
      </c>
      <c r="C43" s="36" t="s">
        <v>17</v>
      </c>
      <c r="D43" s="36" t="s">
        <v>58</v>
      </c>
      <c r="E43" s="37" t="s">
        <v>47</v>
      </c>
      <c r="F43" s="36" t="s">
        <v>31</v>
      </c>
      <c r="G43" s="9">
        <f>10</f>
        <v>10</v>
      </c>
      <c r="H43" s="9">
        <f>10</f>
        <v>10</v>
      </c>
      <c r="I43" s="9">
        <f>10</f>
        <v>10</v>
      </c>
      <c r="J43" s="29">
        <f>10-10</f>
        <v>0</v>
      </c>
      <c r="K43" s="29">
        <f>10-10</f>
        <v>0</v>
      </c>
      <c r="L43" s="32">
        <f t="shared" si="1"/>
        <v>-10</v>
      </c>
    </row>
    <row r="44" spans="1:12" ht="72" customHeight="1" hidden="1">
      <c r="A44" s="19"/>
      <c r="B44" s="51" t="s">
        <v>61</v>
      </c>
      <c r="C44" s="52" t="s">
        <v>17</v>
      </c>
      <c r="D44" s="52" t="s">
        <v>58</v>
      </c>
      <c r="E44" s="53" t="s">
        <v>62</v>
      </c>
      <c r="F44" s="36"/>
      <c r="G44" s="9">
        <f>G45</f>
        <v>200</v>
      </c>
      <c r="H44" s="9">
        <f>H45</f>
        <v>200</v>
      </c>
      <c r="I44" s="9">
        <f>I45</f>
        <v>200</v>
      </c>
      <c r="J44" s="29">
        <f>J45</f>
        <v>200</v>
      </c>
      <c r="K44" s="29">
        <f>K45</f>
        <v>200</v>
      </c>
      <c r="L44" s="32">
        <f t="shared" si="1"/>
        <v>0</v>
      </c>
    </row>
    <row r="45" spans="1:12" ht="72" customHeight="1" hidden="1">
      <c r="A45" s="19"/>
      <c r="B45" s="33" t="s">
        <v>63</v>
      </c>
      <c r="C45" s="42" t="s">
        <v>17</v>
      </c>
      <c r="D45" s="42" t="s">
        <v>58</v>
      </c>
      <c r="E45" s="37" t="s">
        <v>64</v>
      </c>
      <c r="F45" s="36" t="s">
        <v>31</v>
      </c>
      <c r="G45" s="9">
        <f>200</f>
        <v>200</v>
      </c>
      <c r="H45" s="9">
        <f>200</f>
        <v>200</v>
      </c>
      <c r="I45" s="9">
        <f>200</f>
        <v>200</v>
      </c>
      <c r="J45" s="29">
        <f>200</f>
        <v>200</v>
      </c>
      <c r="K45" s="29">
        <f>200</f>
        <v>200</v>
      </c>
      <c r="L45" s="32">
        <f t="shared" si="1"/>
        <v>0</v>
      </c>
    </row>
    <row r="46" spans="1:12" ht="78.75" customHeight="1" hidden="1">
      <c r="A46" s="19"/>
      <c r="B46" s="20" t="s">
        <v>65</v>
      </c>
      <c r="C46" s="49" t="s">
        <v>17</v>
      </c>
      <c r="D46" s="49" t="s">
        <v>58</v>
      </c>
      <c r="E46" s="50" t="s">
        <v>19</v>
      </c>
      <c r="F46" s="36"/>
      <c r="G46" s="14">
        <f>G47+G49+G51</f>
        <v>13238.9</v>
      </c>
      <c r="H46" s="14" t="e">
        <f>H47+H49+H51</f>
        <v>#N/A</v>
      </c>
      <c r="I46" s="54">
        <f>I47+I49+I51</f>
        <v>13709.0711</v>
      </c>
      <c r="J46" s="16">
        <f>J47+J49+J51</f>
        <v>13648.369069999999</v>
      </c>
      <c r="K46" s="16">
        <f>K47+K49+K51</f>
        <v>13598.36998</v>
      </c>
      <c r="L46" s="18">
        <f t="shared" si="1"/>
        <v>-60.70203000000038</v>
      </c>
    </row>
    <row r="47" spans="1:12" ht="38.25" customHeight="1" hidden="1">
      <c r="A47" s="19"/>
      <c r="B47" s="39" t="s">
        <v>66</v>
      </c>
      <c r="C47" s="36" t="s">
        <v>17</v>
      </c>
      <c r="D47" s="36" t="s">
        <v>58</v>
      </c>
      <c r="E47" s="37" t="s">
        <v>67</v>
      </c>
      <c r="F47" s="36"/>
      <c r="G47" s="9">
        <f>G48</f>
        <v>11282.6</v>
      </c>
      <c r="H47" s="9">
        <f>H48</f>
        <v>11282.6</v>
      </c>
      <c r="I47" s="9">
        <f>I48</f>
        <v>11282.6</v>
      </c>
      <c r="J47" s="29">
        <f>J48</f>
        <v>11325.27142</v>
      </c>
      <c r="K47" s="29">
        <f>K48</f>
        <v>11325.27142</v>
      </c>
      <c r="L47" s="18">
        <f t="shared" si="1"/>
        <v>42.67141999999876</v>
      </c>
    </row>
    <row r="48" spans="1:12" ht="101.25" customHeight="1" hidden="1">
      <c r="A48" s="19"/>
      <c r="B48" s="39" t="s">
        <v>68</v>
      </c>
      <c r="C48" s="36" t="s">
        <v>17</v>
      </c>
      <c r="D48" s="36" t="s">
        <v>58</v>
      </c>
      <c r="E48" s="37" t="s">
        <v>69</v>
      </c>
      <c r="F48" s="36" t="s">
        <v>26</v>
      </c>
      <c r="G48" s="9">
        <f>8658.1+2624.5</f>
        <v>11282.6</v>
      </c>
      <c r="H48" s="9">
        <f>8658.1+2624.5</f>
        <v>11282.6</v>
      </c>
      <c r="I48" s="9">
        <f>8658.1+2624.5</f>
        <v>11282.6</v>
      </c>
      <c r="J48" s="29">
        <f>8658.1+2624.5+85.49715-10.66483-48.91459+16.75369</f>
        <v>11325.27142</v>
      </c>
      <c r="K48" s="29">
        <f>8658.1+2624.5+85.49715-10.66483-48.91459+16.75369</f>
        <v>11325.27142</v>
      </c>
      <c r="L48" s="18">
        <f t="shared" si="1"/>
        <v>42.67141999999876</v>
      </c>
    </row>
    <row r="49" spans="1:12" ht="40.5" customHeight="1" hidden="1">
      <c r="A49" s="19"/>
      <c r="B49" s="39" t="s">
        <v>70</v>
      </c>
      <c r="C49" s="36" t="s">
        <v>17</v>
      </c>
      <c r="D49" s="36" t="s">
        <v>58</v>
      </c>
      <c r="E49" s="37" t="s">
        <v>71</v>
      </c>
      <c r="F49" s="36"/>
      <c r="G49" s="9">
        <f>G50</f>
        <v>1756</v>
      </c>
      <c r="H49" s="55" t="e">
        <f>NA()</f>
        <v>#N/A</v>
      </c>
      <c r="I49" s="56">
        <f>I50</f>
        <v>2225.71027</v>
      </c>
      <c r="J49" s="29">
        <f>J50</f>
        <v>2136.5990899999997</v>
      </c>
      <c r="K49" s="29">
        <f>K50</f>
        <v>2086.6</v>
      </c>
      <c r="L49" s="18">
        <f t="shared" si="1"/>
        <v>-89.11118000000033</v>
      </c>
    </row>
    <row r="50" spans="1:12" ht="47.25" customHeight="1" hidden="1">
      <c r="A50" s="19"/>
      <c r="B50" s="57" t="s">
        <v>72</v>
      </c>
      <c r="C50" s="36" t="s">
        <v>17</v>
      </c>
      <c r="D50" s="36" t="s">
        <v>58</v>
      </c>
      <c r="E50" s="37" t="s">
        <v>73</v>
      </c>
      <c r="F50" s="36" t="s">
        <v>31</v>
      </c>
      <c r="G50" s="58">
        <f>96+60+60+96+45+16.4+1.2+17+24+4.8+15+19.6+57.9+96+78+13.4+95.2+45.5+20+153+30+320+200+192</f>
        <v>1756</v>
      </c>
      <c r="H50" s="59">
        <f>96+60+60+96+45+16.4+1.2+17+24+4.8+15+19.6+57.9+96+78+13.4+95.2+45.5+20+153+30+320+200+192+429.244+38.4-0.03373</f>
        <v>2223.61027</v>
      </c>
      <c r="I50" s="59">
        <f>96+60+60+96+45+16.4+1.2+17+24+4.8+15+19.6+57.9+96+78+13.4+95.2+45.5+20+153+30+320+200+192+429.244+38.4-0.03373+2.1</f>
        <v>2225.71027</v>
      </c>
      <c r="J50" s="27">
        <f>96+60+60+96+45+16.4+1.2+17+24+4.8+15+19.6+57.9+96+78+13.4+95.2+45.5+20+153+30+320+200+192+429.244+38.4-0.03373-87.61045+2.1-1.5-0.00073</f>
        <v>2136.5990899999997</v>
      </c>
      <c r="K50" s="27">
        <v>2086.6</v>
      </c>
      <c r="L50" s="18">
        <f t="shared" si="1"/>
        <v>-89.11118000000033</v>
      </c>
    </row>
    <row r="51" spans="1:12" ht="36.75" customHeight="1" hidden="1">
      <c r="A51" s="19"/>
      <c r="B51" s="57" t="s">
        <v>74</v>
      </c>
      <c r="C51" s="36" t="s">
        <v>17</v>
      </c>
      <c r="D51" s="36" t="s">
        <v>58</v>
      </c>
      <c r="E51" s="37" t="s">
        <v>75</v>
      </c>
      <c r="F51" s="36"/>
      <c r="G51" s="9">
        <f>G52</f>
        <v>200.3</v>
      </c>
      <c r="H51" s="9">
        <f>H52</f>
        <v>200.3</v>
      </c>
      <c r="I51" s="48">
        <f>I52</f>
        <v>200.76083000000003</v>
      </c>
      <c r="J51" s="29">
        <f>J52</f>
        <v>186.49856000000003</v>
      </c>
      <c r="K51" s="29">
        <f>K52</f>
        <v>186.49856000000003</v>
      </c>
      <c r="L51" s="18">
        <f t="shared" si="1"/>
        <v>-14.262270000000001</v>
      </c>
    </row>
    <row r="52" spans="1:12" ht="36" customHeight="1" hidden="1">
      <c r="A52" s="19"/>
      <c r="B52" s="57" t="s">
        <v>76</v>
      </c>
      <c r="C52" s="36" t="s">
        <v>17</v>
      </c>
      <c r="D52" s="36" t="s">
        <v>58</v>
      </c>
      <c r="E52" s="37" t="s">
        <v>77</v>
      </c>
      <c r="F52" s="36" t="s">
        <v>42</v>
      </c>
      <c r="G52" s="9">
        <f>196+4.3</f>
        <v>200.3</v>
      </c>
      <c r="H52" s="9">
        <f>196+4.3</f>
        <v>200.3</v>
      </c>
      <c r="I52" s="48">
        <f>196+4.3+0.157+0.2701+0.03373</f>
        <v>200.76083000000003</v>
      </c>
      <c r="J52" s="29">
        <f>196+4.3+0.157+0.2701-15.397-0.366+1.5+0.00073+0.03373</f>
        <v>186.49856000000003</v>
      </c>
      <c r="K52" s="29">
        <f>196+4.3+0.157+0.2701-15.397-0.366+1.5+0.00073+0.03373</f>
        <v>186.49856000000003</v>
      </c>
      <c r="L52" s="18">
        <f t="shared" si="1"/>
        <v>-14.262270000000001</v>
      </c>
    </row>
    <row r="53" spans="1:12" ht="61.5" customHeight="1" hidden="1">
      <c r="A53" s="19"/>
      <c r="B53" s="20" t="s">
        <v>78</v>
      </c>
      <c r="C53" s="49" t="s">
        <v>17</v>
      </c>
      <c r="D53" s="49" t="s">
        <v>58</v>
      </c>
      <c r="E53" s="50" t="s">
        <v>28</v>
      </c>
      <c r="F53" s="36"/>
      <c r="G53" s="14">
        <f>G54+G58</f>
        <v>1504.98</v>
      </c>
      <c r="H53" s="14">
        <f>H54+H58</f>
        <v>1541.88</v>
      </c>
      <c r="I53" s="14">
        <f>I54+I58</f>
        <v>1541.88</v>
      </c>
      <c r="J53" s="16">
        <f>J54+J58</f>
        <v>1520.30464</v>
      </c>
      <c r="K53" s="16">
        <f>K54+K58</f>
        <v>1288.27728</v>
      </c>
      <c r="L53" s="18">
        <f t="shared" si="1"/>
        <v>-21.575360000000046</v>
      </c>
    </row>
    <row r="54" spans="1:12" ht="31.5" customHeight="1" hidden="1">
      <c r="A54" s="19"/>
      <c r="B54" s="57" t="s">
        <v>79</v>
      </c>
      <c r="C54" s="36" t="s">
        <v>17</v>
      </c>
      <c r="D54" s="36" t="s">
        <v>58</v>
      </c>
      <c r="E54" s="37" t="s">
        <v>80</v>
      </c>
      <c r="F54" s="36"/>
      <c r="G54" s="9">
        <f>G55+G57+G56</f>
        <v>1504.98</v>
      </c>
      <c r="H54" s="9">
        <f>H55+H57+H56</f>
        <v>1504.98</v>
      </c>
      <c r="I54" s="9">
        <f>I55+I57+I56</f>
        <v>1504.98</v>
      </c>
      <c r="J54" s="29">
        <f>J55+J57+J56</f>
        <v>1483.42964</v>
      </c>
      <c r="K54" s="29">
        <f>K55+K57+K56</f>
        <v>1251.40228</v>
      </c>
      <c r="L54" s="18">
        <f t="shared" si="1"/>
        <v>-21.550359999999955</v>
      </c>
    </row>
    <row r="55" spans="1:12" ht="52.5" customHeight="1" hidden="1">
      <c r="A55" s="19"/>
      <c r="B55" s="57" t="s">
        <v>81</v>
      </c>
      <c r="C55" s="36" t="s">
        <v>17</v>
      </c>
      <c r="D55" s="36" t="s">
        <v>58</v>
      </c>
      <c r="E55" s="37" t="s">
        <v>82</v>
      </c>
      <c r="F55" s="36" t="s">
        <v>31</v>
      </c>
      <c r="G55" s="9">
        <f>845.78+659.2</f>
        <v>1504.98</v>
      </c>
      <c r="H55" s="56">
        <f>845.78+659.2-0.2057-0.29658</f>
        <v>1504.47772</v>
      </c>
      <c r="I55" s="56">
        <f>845.78+659.2-0.2057-0.29658</f>
        <v>1504.47772</v>
      </c>
      <c r="J55" s="29">
        <f>845.78+659.2-0.2057-0.29658-21.55036</f>
        <v>1482.9273600000001</v>
      </c>
      <c r="K55" s="29">
        <v>1250.9</v>
      </c>
      <c r="L55" s="18">
        <f t="shared" si="1"/>
        <v>-21.550359999999955</v>
      </c>
    </row>
    <row r="56" spans="1:12" ht="18.75" customHeight="1" hidden="1">
      <c r="A56" s="19"/>
      <c r="B56" s="57" t="s">
        <v>83</v>
      </c>
      <c r="C56" s="36" t="s">
        <v>17</v>
      </c>
      <c r="D56" s="36" t="s">
        <v>58</v>
      </c>
      <c r="E56" s="37" t="s">
        <v>82</v>
      </c>
      <c r="F56" s="36" t="s">
        <v>84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32">
        <f t="shared" si="1"/>
        <v>0</v>
      </c>
    </row>
    <row r="57" spans="1:12" ht="32.25" customHeight="1" hidden="1">
      <c r="A57" s="19"/>
      <c r="B57" s="57" t="s">
        <v>85</v>
      </c>
      <c r="C57" s="36" t="s">
        <v>17</v>
      </c>
      <c r="D57" s="36" t="s">
        <v>58</v>
      </c>
      <c r="E57" s="37" t="s">
        <v>82</v>
      </c>
      <c r="F57" s="36" t="s">
        <v>42</v>
      </c>
      <c r="G57" s="60">
        <v>0</v>
      </c>
      <c r="H57" s="60">
        <f>0.2057+0.29658</f>
        <v>0.5022800000000001</v>
      </c>
      <c r="I57" s="60">
        <f>0.2057+0.29658</f>
        <v>0.5022800000000001</v>
      </c>
      <c r="J57" s="27">
        <f>0.2057+0.29658</f>
        <v>0.5022800000000001</v>
      </c>
      <c r="K57" s="27">
        <f>0.2057+0.29658</f>
        <v>0.5022800000000001</v>
      </c>
      <c r="L57" s="32">
        <f t="shared" si="1"/>
        <v>0</v>
      </c>
    </row>
    <row r="58" spans="1:12" ht="38.25" customHeight="1" hidden="1">
      <c r="A58" s="19"/>
      <c r="B58" s="57" t="s">
        <v>74</v>
      </c>
      <c r="C58" s="36" t="s">
        <v>17</v>
      </c>
      <c r="D58" s="36" t="s">
        <v>58</v>
      </c>
      <c r="E58" s="37" t="s">
        <v>86</v>
      </c>
      <c r="F58" s="36"/>
      <c r="G58" s="60">
        <f>G59</f>
        <v>0</v>
      </c>
      <c r="H58" s="61">
        <f>H59</f>
        <v>36.9</v>
      </c>
      <c r="I58" s="61">
        <f>I59</f>
        <v>36.9</v>
      </c>
      <c r="J58" s="27">
        <f>J59</f>
        <v>36.875</v>
      </c>
      <c r="K58" s="27">
        <f>K59</f>
        <v>36.875</v>
      </c>
      <c r="L58" s="62">
        <f t="shared" si="1"/>
        <v>-0.02499999999999858</v>
      </c>
    </row>
    <row r="59" spans="1:12" ht="44.25" customHeight="1" hidden="1">
      <c r="A59" s="19"/>
      <c r="B59" s="63" t="s">
        <v>87</v>
      </c>
      <c r="C59" s="36" t="s">
        <v>17</v>
      </c>
      <c r="D59" s="36" t="s">
        <v>58</v>
      </c>
      <c r="E59" s="64" t="s">
        <v>88</v>
      </c>
      <c r="F59" s="36" t="s">
        <v>42</v>
      </c>
      <c r="G59" s="60">
        <v>0</v>
      </c>
      <c r="H59" s="61">
        <f>0+36.9</f>
        <v>36.9</v>
      </c>
      <c r="I59" s="61">
        <f>0+36.9</f>
        <v>36.9</v>
      </c>
      <c r="J59" s="27">
        <f>0+36.9-0.025</f>
        <v>36.875</v>
      </c>
      <c r="K59" s="27">
        <f>0+36.9-0.025</f>
        <v>36.875</v>
      </c>
      <c r="L59" s="62">
        <f t="shared" si="1"/>
        <v>-0.02499999999999858</v>
      </c>
    </row>
    <row r="60" spans="1:12" ht="21.75" customHeight="1" hidden="1">
      <c r="A60" s="19"/>
      <c r="B60" s="65" t="s">
        <v>20</v>
      </c>
      <c r="C60" s="66" t="s">
        <v>17</v>
      </c>
      <c r="D60" s="66" t="s">
        <v>58</v>
      </c>
      <c r="E60" s="67" t="s">
        <v>21</v>
      </c>
      <c r="F60" s="68"/>
      <c r="G60" s="69">
        <f>G61</f>
        <v>13</v>
      </c>
      <c r="H60" s="69">
        <f>H61</f>
        <v>13</v>
      </c>
      <c r="I60" s="69">
        <f>I61+I62</f>
        <v>15</v>
      </c>
      <c r="J60" s="17">
        <f>J61+J62</f>
        <v>14.902</v>
      </c>
      <c r="K60" s="17">
        <f>K61+K62</f>
        <v>14.902</v>
      </c>
      <c r="L60" s="32">
        <f t="shared" si="1"/>
        <v>-0.09800000000000075</v>
      </c>
    </row>
    <row r="61" spans="1:12" ht="24.75" customHeight="1" hidden="1">
      <c r="A61" s="19"/>
      <c r="B61" s="70" t="s">
        <v>54</v>
      </c>
      <c r="C61" s="71" t="s">
        <v>17</v>
      </c>
      <c r="D61" s="71" t="s">
        <v>58</v>
      </c>
      <c r="E61" s="72" t="s">
        <v>36</v>
      </c>
      <c r="F61" s="73"/>
      <c r="G61" s="58">
        <f>G63</f>
        <v>13</v>
      </c>
      <c r="H61" s="58">
        <f>H63</f>
        <v>13</v>
      </c>
      <c r="I61" s="58">
        <f>I63</f>
        <v>13</v>
      </c>
      <c r="J61" s="27">
        <f>J63</f>
        <v>12.902</v>
      </c>
      <c r="K61" s="27">
        <f>K63</f>
        <v>12.902</v>
      </c>
      <c r="L61" s="32">
        <f t="shared" si="1"/>
        <v>-0.09800000000000075</v>
      </c>
    </row>
    <row r="62" spans="1:12" ht="63" customHeight="1" hidden="1">
      <c r="A62" s="19"/>
      <c r="B62" s="70" t="s">
        <v>89</v>
      </c>
      <c r="C62" s="74" t="s">
        <v>17</v>
      </c>
      <c r="D62" s="74" t="s">
        <v>58</v>
      </c>
      <c r="E62" s="75" t="s">
        <v>90</v>
      </c>
      <c r="F62" s="36" t="s">
        <v>31</v>
      </c>
      <c r="G62" s="58">
        <v>0</v>
      </c>
      <c r="H62" s="58">
        <v>0</v>
      </c>
      <c r="I62" s="61">
        <f>2</f>
        <v>2</v>
      </c>
      <c r="J62" s="27">
        <f>2</f>
        <v>2</v>
      </c>
      <c r="K62" s="27">
        <f>2</f>
        <v>2</v>
      </c>
      <c r="L62" s="32">
        <f t="shared" si="1"/>
        <v>0</v>
      </c>
    </row>
    <row r="63" spans="1:12" ht="47.25" customHeight="1" hidden="1">
      <c r="A63" s="19"/>
      <c r="B63" s="76" t="s">
        <v>91</v>
      </c>
      <c r="C63" s="42" t="s">
        <v>17</v>
      </c>
      <c r="D63" s="42" t="s">
        <v>58</v>
      </c>
      <c r="E63" s="77" t="s">
        <v>92</v>
      </c>
      <c r="F63" s="36" t="s">
        <v>42</v>
      </c>
      <c r="G63" s="58">
        <f>13</f>
        <v>13</v>
      </c>
      <c r="H63" s="58">
        <f>13</f>
        <v>13</v>
      </c>
      <c r="I63" s="58">
        <f>13</f>
        <v>13</v>
      </c>
      <c r="J63" s="27">
        <f>13-0.098</f>
        <v>12.902</v>
      </c>
      <c r="K63" s="27">
        <f>13-0.098</f>
        <v>12.902</v>
      </c>
      <c r="L63" s="62">
        <f t="shared" si="1"/>
        <v>-0.09800000000000075</v>
      </c>
    </row>
    <row r="64" spans="1:12" ht="15" customHeight="1">
      <c r="A64" s="19"/>
      <c r="B64" s="20" t="s">
        <v>93</v>
      </c>
      <c r="C64" s="49" t="s">
        <v>19</v>
      </c>
      <c r="D64" s="49"/>
      <c r="E64" s="37"/>
      <c r="F64" s="36"/>
      <c r="G64" s="69">
        <f>G65</f>
        <v>597.5</v>
      </c>
      <c r="H64" s="69">
        <f>H65</f>
        <v>597.5</v>
      </c>
      <c r="I64" s="69">
        <f>I65</f>
        <v>756.6</v>
      </c>
      <c r="J64" s="69">
        <f>J65</f>
        <v>756.6</v>
      </c>
      <c r="K64" s="17">
        <f>K65</f>
        <v>709.3</v>
      </c>
      <c r="L64" s="32">
        <f t="shared" si="1"/>
        <v>0</v>
      </c>
    </row>
    <row r="65" spans="1:12" s="79" customFormat="1" ht="17.25" customHeight="1">
      <c r="A65" s="78"/>
      <c r="B65" s="24" t="s">
        <v>94</v>
      </c>
      <c r="C65" s="36" t="s">
        <v>19</v>
      </c>
      <c r="D65" s="36" t="s">
        <v>28</v>
      </c>
      <c r="E65" s="37"/>
      <c r="F65" s="36"/>
      <c r="G65" s="58">
        <f aca="true" t="shared" si="6" ref="G65:J66">G66</f>
        <v>597.5</v>
      </c>
      <c r="H65" s="58">
        <f t="shared" si="6"/>
        <v>597.5</v>
      </c>
      <c r="I65" s="58">
        <f t="shared" si="6"/>
        <v>756.6</v>
      </c>
      <c r="J65" s="58">
        <f t="shared" si="6"/>
        <v>756.6</v>
      </c>
      <c r="K65" s="27">
        <v>709.3</v>
      </c>
      <c r="L65" s="32">
        <f t="shared" si="1"/>
        <v>0</v>
      </c>
    </row>
    <row r="66" spans="1:12" ht="15" customHeight="1" hidden="1">
      <c r="A66" s="19"/>
      <c r="B66" s="24" t="s">
        <v>20</v>
      </c>
      <c r="C66" s="36" t="s">
        <v>19</v>
      </c>
      <c r="D66" s="36" t="s">
        <v>28</v>
      </c>
      <c r="E66" s="37" t="s">
        <v>35</v>
      </c>
      <c r="F66" s="36"/>
      <c r="G66" s="58">
        <f t="shared" si="6"/>
        <v>597.5</v>
      </c>
      <c r="H66" s="58">
        <f t="shared" si="6"/>
        <v>597.5</v>
      </c>
      <c r="I66" s="58">
        <f t="shared" si="6"/>
        <v>756.6</v>
      </c>
      <c r="J66" s="58">
        <f t="shared" si="6"/>
        <v>756.6</v>
      </c>
      <c r="K66" s="27">
        <f>K67</f>
        <v>756.6</v>
      </c>
      <c r="L66" s="32">
        <f t="shared" si="1"/>
        <v>0</v>
      </c>
    </row>
    <row r="67" spans="1:12" ht="15" customHeight="1" hidden="1">
      <c r="A67" s="19"/>
      <c r="B67" s="24" t="s">
        <v>22</v>
      </c>
      <c r="C67" s="36" t="s">
        <v>19</v>
      </c>
      <c r="D67" s="36" t="s">
        <v>28</v>
      </c>
      <c r="E67" s="37" t="s">
        <v>36</v>
      </c>
      <c r="F67" s="36"/>
      <c r="G67" s="58">
        <f>G68+G69</f>
        <v>597.5</v>
      </c>
      <c r="H67" s="58">
        <f>H68+H69</f>
        <v>597.5</v>
      </c>
      <c r="I67" s="58">
        <f>I68+I69</f>
        <v>756.6</v>
      </c>
      <c r="J67" s="58">
        <f>J68+J69</f>
        <v>756.6</v>
      </c>
      <c r="K67" s="27">
        <f>K68+K69</f>
        <v>756.6</v>
      </c>
      <c r="L67" s="32">
        <f t="shared" si="1"/>
        <v>0</v>
      </c>
    </row>
    <row r="68" spans="1:12" ht="113.25" customHeight="1" hidden="1">
      <c r="A68" s="19"/>
      <c r="B68" s="28" t="s">
        <v>95</v>
      </c>
      <c r="C68" s="36" t="s">
        <v>19</v>
      </c>
      <c r="D68" s="36" t="s">
        <v>28</v>
      </c>
      <c r="E68" s="37" t="s">
        <v>96</v>
      </c>
      <c r="F68" s="36" t="s">
        <v>26</v>
      </c>
      <c r="G68" s="58">
        <f>436.7+131.9</f>
        <v>568.6</v>
      </c>
      <c r="H68" s="58">
        <f>436.7+131.9</f>
        <v>568.6</v>
      </c>
      <c r="I68" s="58">
        <f>436.7+131.9</f>
        <v>568.6</v>
      </c>
      <c r="J68" s="58">
        <f>436.7+131.9</f>
        <v>568.6</v>
      </c>
      <c r="K68" s="27">
        <f>436.7+131.9</f>
        <v>568.6</v>
      </c>
      <c r="L68" s="32">
        <f t="shared" si="1"/>
        <v>0</v>
      </c>
    </row>
    <row r="69" spans="1:13" ht="61.5" customHeight="1" hidden="1">
      <c r="A69" s="19"/>
      <c r="B69" s="28" t="s">
        <v>97</v>
      </c>
      <c r="C69" s="36" t="s">
        <v>19</v>
      </c>
      <c r="D69" s="36" t="s">
        <v>28</v>
      </c>
      <c r="E69" s="37" t="s">
        <v>96</v>
      </c>
      <c r="F69" s="36" t="s">
        <v>31</v>
      </c>
      <c r="G69" s="58">
        <f>6+6.1+6+10.8</f>
        <v>28.900000000000002</v>
      </c>
      <c r="H69" s="58">
        <f>6+6.1+6+10.8</f>
        <v>28.900000000000002</v>
      </c>
      <c r="I69" s="58">
        <f>6+6.1+6+10.8+70+89.1</f>
        <v>188</v>
      </c>
      <c r="J69" s="58">
        <f>6+6.1+6+10.8+70+89.1</f>
        <v>188</v>
      </c>
      <c r="K69" s="27">
        <f>6+6.1+6+10.8+70+89.1</f>
        <v>188</v>
      </c>
      <c r="L69" s="32">
        <f t="shared" si="1"/>
        <v>0</v>
      </c>
      <c r="M69" s="80"/>
    </row>
    <row r="70" spans="1:12" ht="30.75" customHeight="1">
      <c r="A70" s="19"/>
      <c r="B70" s="20" t="s">
        <v>98</v>
      </c>
      <c r="C70" s="49" t="s">
        <v>28</v>
      </c>
      <c r="D70" s="49"/>
      <c r="E70" s="50"/>
      <c r="F70" s="49"/>
      <c r="G70" s="69">
        <f>G71+G78</f>
        <v>801.0500000000001</v>
      </c>
      <c r="H70" s="69">
        <f>H71+H78</f>
        <v>801.0500000000001</v>
      </c>
      <c r="I70" s="69">
        <f>I71+I78</f>
        <v>801.0500000000001</v>
      </c>
      <c r="J70" s="69">
        <f>J71+J78</f>
        <v>801.0500000000001</v>
      </c>
      <c r="K70" s="17">
        <f>K71+K78</f>
        <v>866.9</v>
      </c>
      <c r="L70" s="32">
        <f t="shared" si="1"/>
        <v>0</v>
      </c>
    </row>
    <row r="71" spans="1:12" ht="47.25" customHeight="1">
      <c r="A71" s="19"/>
      <c r="B71" s="24" t="s">
        <v>99</v>
      </c>
      <c r="C71" s="36" t="s">
        <v>28</v>
      </c>
      <c r="D71" s="36" t="s">
        <v>100</v>
      </c>
      <c r="E71" s="37"/>
      <c r="F71" s="36"/>
      <c r="G71" s="58">
        <f>G72+G75</f>
        <v>791.0500000000001</v>
      </c>
      <c r="H71" s="58">
        <f>H72+H75</f>
        <v>791.0500000000001</v>
      </c>
      <c r="I71" s="58">
        <f>I72+I75</f>
        <v>791.0500000000001</v>
      </c>
      <c r="J71" s="58">
        <f>J72+J75</f>
        <v>791.0500000000001</v>
      </c>
      <c r="K71" s="27">
        <v>864.9</v>
      </c>
      <c r="L71" s="32">
        <f t="shared" si="1"/>
        <v>0</v>
      </c>
    </row>
    <row r="72" spans="1:12" ht="47.25" customHeight="1" hidden="1">
      <c r="A72" s="19"/>
      <c r="B72" s="24" t="s">
        <v>101</v>
      </c>
      <c r="C72" s="36" t="s">
        <v>28</v>
      </c>
      <c r="D72" s="36" t="s">
        <v>100</v>
      </c>
      <c r="E72" s="37" t="s">
        <v>33</v>
      </c>
      <c r="F72" s="36"/>
      <c r="G72" s="58">
        <f aca="true" t="shared" si="7" ref="G72:K73">G73</f>
        <v>11.2</v>
      </c>
      <c r="H72" s="58">
        <f t="shared" si="7"/>
        <v>11.2</v>
      </c>
      <c r="I72" s="58">
        <f t="shared" si="7"/>
        <v>11.2</v>
      </c>
      <c r="J72" s="58">
        <f t="shared" si="7"/>
        <v>11.2</v>
      </c>
      <c r="K72" s="27">
        <f t="shared" si="7"/>
        <v>11.1</v>
      </c>
      <c r="L72" s="32">
        <f t="shared" si="1"/>
        <v>0</v>
      </c>
    </row>
    <row r="73" spans="1:12" ht="36.75" customHeight="1" hidden="1">
      <c r="A73" s="19"/>
      <c r="B73" s="24" t="s">
        <v>102</v>
      </c>
      <c r="C73" s="36" t="s">
        <v>28</v>
      </c>
      <c r="D73" s="36" t="s">
        <v>100</v>
      </c>
      <c r="E73" s="37" t="s">
        <v>103</v>
      </c>
      <c r="F73" s="36"/>
      <c r="G73" s="58">
        <f t="shared" si="7"/>
        <v>11.2</v>
      </c>
      <c r="H73" s="58">
        <f t="shared" si="7"/>
        <v>11.2</v>
      </c>
      <c r="I73" s="58">
        <f t="shared" si="7"/>
        <v>11.2</v>
      </c>
      <c r="J73" s="58">
        <f t="shared" si="7"/>
        <v>11.2</v>
      </c>
      <c r="K73" s="27">
        <f t="shared" si="7"/>
        <v>11.1</v>
      </c>
      <c r="L73" s="32">
        <f t="shared" si="1"/>
        <v>0</v>
      </c>
    </row>
    <row r="74" spans="1:12" ht="47.25" customHeight="1" hidden="1">
      <c r="A74" s="19"/>
      <c r="B74" s="81" t="s">
        <v>104</v>
      </c>
      <c r="C74" s="36" t="s">
        <v>28</v>
      </c>
      <c r="D74" s="36" t="s">
        <v>100</v>
      </c>
      <c r="E74" s="37" t="s">
        <v>105</v>
      </c>
      <c r="F74" s="36" t="s">
        <v>31</v>
      </c>
      <c r="G74" s="58">
        <f>11.2</f>
        <v>11.2</v>
      </c>
      <c r="H74" s="58">
        <f>11.2</f>
        <v>11.2</v>
      </c>
      <c r="I74" s="58">
        <f>11.2</f>
        <v>11.2</v>
      </c>
      <c r="J74" s="58">
        <f>11.2</f>
        <v>11.2</v>
      </c>
      <c r="K74" s="27">
        <v>11.1</v>
      </c>
      <c r="L74" s="32">
        <f t="shared" si="1"/>
        <v>0</v>
      </c>
    </row>
    <row r="75" spans="1:12" ht="15" customHeight="1" hidden="1">
      <c r="A75" s="19"/>
      <c r="B75" s="24" t="s">
        <v>106</v>
      </c>
      <c r="C75" s="36" t="s">
        <v>28</v>
      </c>
      <c r="D75" s="36" t="s">
        <v>100</v>
      </c>
      <c r="E75" s="37" t="s">
        <v>21</v>
      </c>
      <c r="F75" s="36"/>
      <c r="G75" s="58">
        <f aca="true" t="shared" si="8" ref="G75:K76">G76</f>
        <v>779.85</v>
      </c>
      <c r="H75" s="58">
        <f t="shared" si="8"/>
        <v>779.85</v>
      </c>
      <c r="I75" s="58">
        <f t="shared" si="8"/>
        <v>779.85</v>
      </c>
      <c r="J75" s="58">
        <f t="shared" si="8"/>
        <v>779.85</v>
      </c>
      <c r="K75" s="27">
        <f t="shared" si="8"/>
        <v>779.9</v>
      </c>
      <c r="L75" s="32">
        <f t="shared" si="1"/>
        <v>0</v>
      </c>
    </row>
    <row r="76" spans="1:12" ht="15" customHeight="1" hidden="1">
      <c r="A76" s="19"/>
      <c r="B76" s="24" t="s">
        <v>22</v>
      </c>
      <c r="C76" s="36" t="s">
        <v>28</v>
      </c>
      <c r="D76" s="36" t="s">
        <v>100</v>
      </c>
      <c r="E76" s="37" t="s">
        <v>36</v>
      </c>
      <c r="F76" s="36"/>
      <c r="G76" s="58">
        <f t="shared" si="8"/>
        <v>779.85</v>
      </c>
      <c r="H76" s="58">
        <f t="shared" si="8"/>
        <v>779.85</v>
      </c>
      <c r="I76" s="58">
        <f t="shared" si="8"/>
        <v>779.85</v>
      </c>
      <c r="J76" s="58">
        <f t="shared" si="8"/>
        <v>779.85</v>
      </c>
      <c r="K76" s="27">
        <f t="shared" si="8"/>
        <v>779.9</v>
      </c>
      <c r="L76" s="32">
        <f t="shared" si="1"/>
        <v>0</v>
      </c>
    </row>
    <row r="77" spans="1:12" ht="49.5" customHeight="1" hidden="1">
      <c r="A77" s="19"/>
      <c r="B77" s="81" t="s">
        <v>107</v>
      </c>
      <c r="C77" s="36" t="s">
        <v>28</v>
      </c>
      <c r="D77" s="36" t="s">
        <v>100</v>
      </c>
      <c r="E77" s="37" t="s">
        <v>108</v>
      </c>
      <c r="F77" s="82" t="s">
        <v>109</v>
      </c>
      <c r="G77" s="58">
        <v>779.85</v>
      </c>
      <c r="H77" s="58">
        <v>779.85</v>
      </c>
      <c r="I77" s="58">
        <v>779.85</v>
      </c>
      <c r="J77" s="58">
        <v>779.85</v>
      </c>
      <c r="K77" s="27">
        <v>779.9</v>
      </c>
      <c r="L77" s="32">
        <f t="shared" si="1"/>
        <v>0</v>
      </c>
    </row>
    <row r="78" spans="1:12" ht="36.75" customHeight="1">
      <c r="A78" s="19"/>
      <c r="B78" s="81" t="s">
        <v>110</v>
      </c>
      <c r="C78" s="36" t="s">
        <v>28</v>
      </c>
      <c r="D78" s="36" t="s">
        <v>111</v>
      </c>
      <c r="E78" s="37"/>
      <c r="F78" s="36"/>
      <c r="G78" s="58">
        <f aca="true" t="shared" si="9" ref="G78:K80">G79</f>
        <v>10</v>
      </c>
      <c r="H78" s="58">
        <f t="shared" si="9"/>
        <v>10</v>
      </c>
      <c r="I78" s="58">
        <f t="shared" si="9"/>
        <v>10</v>
      </c>
      <c r="J78" s="58">
        <f t="shared" si="9"/>
        <v>10</v>
      </c>
      <c r="K78" s="27">
        <f t="shared" si="9"/>
        <v>2</v>
      </c>
      <c r="L78" s="32">
        <f t="shared" si="1"/>
        <v>0</v>
      </c>
    </row>
    <row r="79" spans="1:12" ht="60.75" customHeight="1" hidden="1">
      <c r="A79" s="19"/>
      <c r="B79" s="83" t="s">
        <v>112</v>
      </c>
      <c r="C79" s="84" t="s">
        <v>28</v>
      </c>
      <c r="D79" s="84" t="s">
        <v>111</v>
      </c>
      <c r="E79" s="85" t="s">
        <v>113</v>
      </c>
      <c r="F79" s="49"/>
      <c r="G79" s="69">
        <f t="shared" si="9"/>
        <v>10</v>
      </c>
      <c r="H79" s="69">
        <f t="shared" si="9"/>
        <v>10</v>
      </c>
      <c r="I79" s="69">
        <f t="shared" si="9"/>
        <v>10</v>
      </c>
      <c r="J79" s="69">
        <f t="shared" si="9"/>
        <v>10</v>
      </c>
      <c r="K79" s="17">
        <f t="shared" si="9"/>
        <v>2</v>
      </c>
      <c r="L79" s="32">
        <f t="shared" si="1"/>
        <v>0</v>
      </c>
    </row>
    <row r="80" spans="1:12" ht="48" customHeight="1" hidden="1">
      <c r="A80" s="19"/>
      <c r="B80" s="86" t="s">
        <v>114</v>
      </c>
      <c r="C80" s="87" t="s">
        <v>28</v>
      </c>
      <c r="D80" s="87" t="s">
        <v>111</v>
      </c>
      <c r="E80" s="41" t="s">
        <v>115</v>
      </c>
      <c r="F80" s="36"/>
      <c r="G80" s="58">
        <f t="shared" si="9"/>
        <v>10</v>
      </c>
      <c r="H80" s="58">
        <f t="shared" si="9"/>
        <v>10</v>
      </c>
      <c r="I80" s="58">
        <f t="shared" si="9"/>
        <v>10</v>
      </c>
      <c r="J80" s="58">
        <f t="shared" si="9"/>
        <v>10</v>
      </c>
      <c r="K80" s="27">
        <f t="shared" si="9"/>
        <v>2</v>
      </c>
      <c r="L80" s="32">
        <f t="shared" si="1"/>
        <v>0</v>
      </c>
    </row>
    <row r="81" spans="1:12" ht="30.75" customHeight="1" hidden="1">
      <c r="A81" s="19"/>
      <c r="B81" s="86" t="s">
        <v>60</v>
      </c>
      <c r="C81" s="87" t="s">
        <v>28</v>
      </c>
      <c r="D81" s="87" t="s">
        <v>111</v>
      </c>
      <c r="E81" s="41" t="s">
        <v>116</v>
      </c>
      <c r="F81" s="36" t="s">
        <v>31</v>
      </c>
      <c r="G81" s="58">
        <v>10</v>
      </c>
      <c r="H81" s="58">
        <v>10</v>
      </c>
      <c r="I81" s="58">
        <v>10</v>
      </c>
      <c r="J81" s="58">
        <v>10</v>
      </c>
      <c r="K81" s="27">
        <v>2</v>
      </c>
      <c r="L81" s="32">
        <f t="shared" si="1"/>
        <v>0</v>
      </c>
    </row>
    <row r="82" spans="1:12" ht="25.5" customHeight="1">
      <c r="A82" s="19"/>
      <c r="B82" s="88" t="s">
        <v>117</v>
      </c>
      <c r="C82" s="49" t="s">
        <v>33</v>
      </c>
      <c r="D82" s="49"/>
      <c r="E82" s="50"/>
      <c r="F82" s="49"/>
      <c r="G82" s="14">
        <f>G83+G91+G107+G87</f>
        <v>10678</v>
      </c>
      <c r="H82" s="14">
        <f>H83+H91+H107+H87</f>
        <v>11105.6</v>
      </c>
      <c r="I82" s="15">
        <f>I83+I87+I91+I107</f>
        <v>10985.82927</v>
      </c>
      <c r="J82" s="15">
        <f>J83+J87+J91+J107</f>
        <v>10793.95196</v>
      </c>
      <c r="K82" s="16">
        <f>K83+K87+K91+K107</f>
        <v>13254.2</v>
      </c>
      <c r="L82" s="18">
        <f t="shared" si="1"/>
        <v>-191.87730999999985</v>
      </c>
    </row>
    <row r="83" spans="1:12" ht="15" customHeight="1" hidden="1">
      <c r="A83" s="19"/>
      <c r="B83" s="89" t="s">
        <v>118</v>
      </c>
      <c r="C83" s="49" t="s">
        <v>33</v>
      </c>
      <c r="D83" s="49" t="s">
        <v>17</v>
      </c>
      <c r="E83" s="50"/>
      <c r="F83" s="49"/>
      <c r="G83" s="9">
        <f aca="true" t="shared" si="10" ref="G83:K85">G84</f>
        <v>750</v>
      </c>
      <c r="H83" s="90">
        <f t="shared" si="10"/>
        <v>750</v>
      </c>
      <c r="I83" s="48">
        <f t="shared" si="10"/>
        <v>530.22927</v>
      </c>
      <c r="J83" s="48">
        <f t="shared" si="10"/>
        <v>0</v>
      </c>
      <c r="K83" s="48">
        <f t="shared" si="10"/>
        <v>0</v>
      </c>
      <c r="L83" s="18">
        <f t="shared" si="1"/>
        <v>-530.22927</v>
      </c>
    </row>
    <row r="84" spans="1:12" ht="15" customHeight="1" hidden="1">
      <c r="A84" s="19"/>
      <c r="B84" s="81" t="s">
        <v>20</v>
      </c>
      <c r="C84" s="36" t="s">
        <v>33</v>
      </c>
      <c r="D84" s="36" t="s">
        <v>17</v>
      </c>
      <c r="E84" s="37" t="s">
        <v>21</v>
      </c>
      <c r="F84" s="49"/>
      <c r="G84" s="9">
        <f t="shared" si="10"/>
        <v>750</v>
      </c>
      <c r="H84" s="90">
        <f t="shared" si="10"/>
        <v>750</v>
      </c>
      <c r="I84" s="48">
        <f t="shared" si="10"/>
        <v>530.22927</v>
      </c>
      <c r="J84" s="48">
        <f t="shared" si="10"/>
        <v>0</v>
      </c>
      <c r="K84" s="48">
        <f t="shared" si="10"/>
        <v>0</v>
      </c>
      <c r="L84" s="18">
        <f t="shared" si="1"/>
        <v>-530.22927</v>
      </c>
    </row>
    <row r="85" spans="1:12" ht="15" customHeight="1" hidden="1">
      <c r="A85" s="19"/>
      <c r="B85" s="24" t="s">
        <v>22</v>
      </c>
      <c r="C85" s="36" t="s">
        <v>33</v>
      </c>
      <c r="D85" s="36" t="s">
        <v>17</v>
      </c>
      <c r="E85" s="37" t="s">
        <v>36</v>
      </c>
      <c r="F85" s="49"/>
      <c r="G85" s="9">
        <f t="shared" si="10"/>
        <v>750</v>
      </c>
      <c r="H85" s="90">
        <f t="shared" si="10"/>
        <v>750</v>
      </c>
      <c r="I85" s="48">
        <f t="shared" si="10"/>
        <v>530.22927</v>
      </c>
      <c r="J85" s="48">
        <f t="shared" si="10"/>
        <v>0</v>
      </c>
      <c r="K85" s="48">
        <f t="shared" si="10"/>
        <v>0</v>
      </c>
      <c r="L85" s="18">
        <f t="shared" si="1"/>
        <v>-530.22927</v>
      </c>
    </row>
    <row r="86" spans="1:12" ht="46.5" customHeight="1" hidden="1">
      <c r="A86" s="19"/>
      <c r="B86" s="86" t="s">
        <v>119</v>
      </c>
      <c r="C86" s="36" t="s">
        <v>33</v>
      </c>
      <c r="D86" s="36" t="s">
        <v>17</v>
      </c>
      <c r="E86" s="37" t="s">
        <v>120</v>
      </c>
      <c r="F86" s="91" t="s">
        <v>42</v>
      </c>
      <c r="G86" s="9">
        <f>450+300</f>
        <v>750</v>
      </c>
      <c r="H86" s="90">
        <f>450+300-653.87985+653.87985</f>
        <v>750</v>
      </c>
      <c r="I86" s="48">
        <f>450+300-653.87985+653.87985-200-19.77073</f>
        <v>530.22927</v>
      </c>
      <c r="J86" s="48">
        <f>450+300-653.87985+653.87985-200-19.77073-530.22927</f>
        <v>0</v>
      </c>
      <c r="K86" s="48">
        <f>450+300-653.87985+653.87985-200-19.77073-530.22927</f>
        <v>0</v>
      </c>
      <c r="L86" s="18">
        <f t="shared" si="1"/>
        <v>-530.22927</v>
      </c>
    </row>
    <row r="87" spans="1:12" ht="19.5" customHeight="1" hidden="1">
      <c r="A87" s="19"/>
      <c r="B87" s="81" t="s">
        <v>121</v>
      </c>
      <c r="C87" s="36" t="s">
        <v>33</v>
      </c>
      <c r="D87" s="36" t="s">
        <v>122</v>
      </c>
      <c r="E87" s="37"/>
      <c r="F87" s="36"/>
      <c r="G87" s="9">
        <f aca="true" t="shared" si="11" ref="G87:J89">G88</f>
        <v>50</v>
      </c>
      <c r="H87" s="9">
        <f t="shared" si="11"/>
        <v>50</v>
      </c>
      <c r="I87" s="9">
        <f t="shared" si="11"/>
        <v>150</v>
      </c>
      <c r="J87" s="9">
        <f t="shared" si="11"/>
        <v>50</v>
      </c>
      <c r="K87" s="29">
        <v>0</v>
      </c>
      <c r="L87" s="32">
        <f t="shared" si="1"/>
        <v>-100</v>
      </c>
    </row>
    <row r="88" spans="1:12" ht="62.25" customHeight="1" hidden="1">
      <c r="A88" s="19"/>
      <c r="B88" s="24" t="s">
        <v>123</v>
      </c>
      <c r="C88" s="36" t="s">
        <v>33</v>
      </c>
      <c r="D88" s="36" t="s">
        <v>122</v>
      </c>
      <c r="E88" s="37" t="s">
        <v>124</v>
      </c>
      <c r="F88" s="36"/>
      <c r="G88" s="9">
        <f t="shared" si="11"/>
        <v>50</v>
      </c>
      <c r="H88" s="9">
        <f t="shared" si="11"/>
        <v>50</v>
      </c>
      <c r="I88" s="9">
        <f t="shared" si="11"/>
        <v>150</v>
      </c>
      <c r="J88" s="9">
        <f t="shared" si="11"/>
        <v>50</v>
      </c>
      <c r="K88" s="29">
        <f>K89</f>
        <v>50</v>
      </c>
      <c r="L88" s="32">
        <f t="shared" si="1"/>
        <v>-100</v>
      </c>
    </row>
    <row r="89" spans="1:12" ht="30.75" customHeight="1" hidden="1">
      <c r="A89" s="19"/>
      <c r="B89" s="24" t="s">
        <v>125</v>
      </c>
      <c r="C89" s="36" t="s">
        <v>33</v>
      </c>
      <c r="D89" s="36" t="s">
        <v>122</v>
      </c>
      <c r="E89" s="37" t="s">
        <v>126</v>
      </c>
      <c r="F89" s="36"/>
      <c r="G89" s="9">
        <f t="shared" si="11"/>
        <v>50</v>
      </c>
      <c r="H89" s="9">
        <f t="shared" si="11"/>
        <v>50</v>
      </c>
      <c r="I89" s="9">
        <f t="shared" si="11"/>
        <v>150</v>
      </c>
      <c r="J89" s="9">
        <f t="shared" si="11"/>
        <v>50</v>
      </c>
      <c r="K89" s="29">
        <f>K90</f>
        <v>50</v>
      </c>
      <c r="L89" s="32">
        <f t="shared" si="1"/>
        <v>-100</v>
      </c>
    </row>
    <row r="90" spans="1:12" ht="46.5" customHeight="1" hidden="1">
      <c r="A90" s="19"/>
      <c r="B90" s="24" t="s">
        <v>127</v>
      </c>
      <c r="C90" s="36" t="s">
        <v>33</v>
      </c>
      <c r="D90" s="36" t="s">
        <v>122</v>
      </c>
      <c r="E90" s="37" t="s">
        <v>128</v>
      </c>
      <c r="F90" s="36" t="s">
        <v>31</v>
      </c>
      <c r="G90" s="9">
        <v>50</v>
      </c>
      <c r="H90" s="9">
        <v>50</v>
      </c>
      <c r="I90" s="9">
        <f>50+100</f>
        <v>150</v>
      </c>
      <c r="J90" s="9">
        <f>50+100-100</f>
        <v>50</v>
      </c>
      <c r="K90" s="29">
        <f>50+100-100</f>
        <v>50</v>
      </c>
      <c r="L90" s="32">
        <f t="shared" si="1"/>
        <v>-100</v>
      </c>
    </row>
    <row r="91" spans="1:12" ht="19.5" customHeight="1">
      <c r="A91" s="19"/>
      <c r="B91" s="92" t="s">
        <v>129</v>
      </c>
      <c r="C91" s="36" t="s">
        <v>33</v>
      </c>
      <c r="D91" s="36" t="s">
        <v>100</v>
      </c>
      <c r="E91" s="37"/>
      <c r="F91" s="36"/>
      <c r="G91" s="9">
        <f>G92+G104</f>
        <v>8601.2</v>
      </c>
      <c r="H91" s="9">
        <f>H92+H104</f>
        <v>8866.800000000001</v>
      </c>
      <c r="I91" s="9">
        <f>I92+I104</f>
        <v>8866.800000000001</v>
      </c>
      <c r="J91" s="9">
        <f>J92+J104</f>
        <v>9426.7</v>
      </c>
      <c r="K91" s="29">
        <v>8575.7</v>
      </c>
      <c r="L91" s="62">
        <f t="shared" si="1"/>
        <v>559.8999999999996</v>
      </c>
    </row>
    <row r="92" spans="1:12" ht="47.25" customHeight="1" hidden="1">
      <c r="A92" s="19"/>
      <c r="B92" s="92" t="s">
        <v>130</v>
      </c>
      <c r="C92" s="36" t="s">
        <v>33</v>
      </c>
      <c r="D92" s="36" t="s">
        <v>100</v>
      </c>
      <c r="E92" s="37" t="s">
        <v>49</v>
      </c>
      <c r="F92" s="36"/>
      <c r="G92" s="9">
        <f>G93+G98+G101</f>
        <v>8301.2</v>
      </c>
      <c r="H92" s="9">
        <f>H93+H98+H101</f>
        <v>8301.2</v>
      </c>
      <c r="I92" s="9">
        <f>I93+I98+I101</f>
        <v>8301.2</v>
      </c>
      <c r="J92" s="9">
        <f>J93+J98+J101</f>
        <v>8861.1</v>
      </c>
      <c r="K92" s="29">
        <f>K93+K98+K101</f>
        <v>7504.4</v>
      </c>
      <c r="L92" s="62">
        <f t="shared" si="1"/>
        <v>559.8999999999996</v>
      </c>
    </row>
    <row r="93" spans="1:12" ht="47.25" customHeight="1" hidden="1">
      <c r="A93" s="19"/>
      <c r="B93" s="28" t="s">
        <v>131</v>
      </c>
      <c r="C93" s="36" t="s">
        <v>33</v>
      </c>
      <c r="D93" s="36" t="s">
        <v>100</v>
      </c>
      <c r="E93" s="37" t="s">
        <v>132</v>
      </c>
      <c r="F93" s="36"/>
      <c r="G93" s="9">
        <f>G94+G95+G96+G97</f>
        <v>2701.2</v>
      </c>
      <c r="H93" s="9">
        <f>H94+H95+H96+H97</f>
        <v>2701.2</v>
      </c>
      <c r="I93" s="9">
        <f>I94+I95+I96+I97</f>
        <v>2701.2</v>
      </c>
      <c r="J93" s="9">
        <f>J94+J95+J96+J97</f>
        <v>2952.9</v>
      </c>
      <c r="K93" s="29">
        <f>K94+K95+K96+K97</f>
        <v>2296.2</v>
      </c>
      <c r="L93" s="62">
        <f t="shared" si="1"/>
        <v>251.70000000000027</v>
      </c>
    </row>
    <row r="94" spans="1:12" ht="66.75" customHeight="1" hidden="1">
      <c r="A94" s="19"/>
      <c r="B94" s="33" t="s">
        <v>133</v>
      </c>
      <c r="C94" s="42" t="s">
        <v>33</v>
      </c>
      <c r="D94" s="42" t="s">
        <v>100</v>
      </c>
      <c r="E94" s="37" t="s">
        <v>134</v>
      </c>
      <c r="F94" s="36" t="s">
        <v>31</v>
      </c>
      <c r="G94" s="9">
        <f>760.2</f>
        <v>760.2</v>
      </c>
      <c r="H94" s="9">
        <f>760.2</f>
        <v>760.2</v>
      </c>
      <c r="I94" s="9">
        <f>760.2</f>
        <v>760.2</v>
      </c>
      <c r="J94" s="9">
        <f>760.2+399.2-147.5</f>
        <v>1011.9000000000001</v>
      </c>
      <c r="K94" s="29">
        <v>761.7</v>
      </c>
      <c r="L94" s="62">
        <f t="shared" si="1"/>
        <v>251.70000000000005</v>
      </c>
    </row>
    <row r="95" spans="1:12" ht="63" customHeight="1" hidden="1">
      <c r="A95" s="19"/>
      <c r="B95" s="33" t="s">
        <v>135</v>
      </c>
      <c r="C95" s="42" t="s">
        <v>33</v>
      </c>
      <c r="D95" s="42" t="s">
        <v>100</v>
      </c>
      <c r="E95" s="37" t="s">
        <v>136</v>
      </c>
      <c r="F95" s="36" t="s">
        <v>31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62">
        <f t="shared" si="1"/>
        <v>0</v>
      </c>
    </row>
    <row r="96" spans="1:12" ht="63" customHeight="1" hidden="1">
      <c r="A96" s="19"/>
      <c r="B96" s="33" t="s">
        <v>135</v>
      </c>
      <c r="C96" s="42" t="s">
        <v>33</v>
      </c>
      <c r="D96" s="42" t="s">
        <v>100</v>
      </c>
      <c r="E96" s="37" t="s">
        <v>136</v>
      </c>
      <c r="F96" s="36" t="s">
        <v>31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62">
        <f t="shared" si="1"/>
        <v>0</v>
      </c>
    </row>
    <row r="97" spans="1:12" ht="78.75" customHeight="1" hidden="1">
      <c r="A97" s="19"/>
      <c r="B97" s="33" t="s">
        <v>137</v>
      </c>
      <c r="C97" s="36" t="s">
        <v>33</v>
      </c>
      <c r="D97" s="36" t="s">
        <v>100</v>
      </c>
      <c r="E97" s="37" t="s">
        <v>138</v>
      </c>
      <c r="F97" s="36" t="s">
        <v>31</v>
      </c>
      <c r="G97" s="9">
        <f>1900+41</f>
        <v>1941</v>
      </c>
      <c r="H97" s="9">
        <f>1900+41</f>
        <v>1941</v>
      </c>
      <c r="I97" s="9">
        <f>1900+41</f>
        <v>1941</v>
      </c>
      <c r="J97" s="9">
        <f>1900+41</f>
        <v>1941</v>
      </c>
      <c r="K97" s="29">
        <v>1534.5</v>
      </c>
      <c r="L97" s="62">
        <f t="shared" si="1"/>
        <v>0</v>
      </c>
    </row>
    <row r="98" spans="1:12" ht="48" customHeight="1" hidden="1">
      <c r="A98" s="19"/>
      <c r="B98" s="28" t="s">
        <v>139</v>
      </c>
      <c r="C98" s="42" t="s">
        <v>33</v>
      </c>
      <c r="D98" s="42" t="s">
        <v>100</v>
      </c>
      <c r="E98" s="37" t="s">
        <v>140</v>
      </c>
      <c r="F98" s="36"/>
      <c r="G98" s="9">
        <f>G99+G100</f>
        <v>4600</v>
      </c>
      <c r="H98" s="9">
        <f>H99+H100</f>
        <v>4600</v>
      </c>
      <c r="I98" s="9">
        <f>I99+I100</f>
        <v>4600</v>
      </c>
      <c r="J98" s="9">
        <f>J99+J100</f>
        <v>5308.2</v>
      </c>
      <c r="K98" s="29">
        <f>K99+K100</f>
        <v>4812</v>
      </c>
      <c r="L98" s="62">
        <f t="shared" si="1"/>
        <v>708.1999999999998</v>
      </c>
    </row>
    <row r="99" spans="1:12" ht="78.75" customHeight="1" hidden="1">
      <c r="A99" s="19"/>
      <c r="B99" s="93" t="s">
        <v>141</v>
      </c>
      <c r="C99" s="42" t="s">
        <v>33</v>
      </c>
      <c r="D99" s="42" t="s">
        <v>100</v>
      </c>
      <c r="E99" s="37" t="s">
        <v>142</v>
      </c>
      <c r="F99" s="36" t="s">
        <v>31</v>
      </c>
      <c r="G99" s="9">
        <f>4000+600</f>
        <v>4600</v>
      </c>
      <c r="H99" s="9">
        <f>4000+600</f>
        <v>4600</v>
      </c>
      <c r="I99" s="9">
        <f>4000+600</f>
        <v>4600</v>
      </c>
      <c r="J99" s="9">
        <f>4000+600+147.5+160.7+400</f>
        <v>5308.2</v>
      </c>
      <c r="K99" s="29">
        <v>4812</v>
      </c>
      <c r="L99" s="62">
        <f t="shared" si="1"/>
        <v>708.1999999999998</v>
      </c>
    </row>
    <row r="100" spans="1:12" ht="65.25" customHeight="1" hidden="1">
      <c r="A100" s="19"/>
      <c r="B100" s="33" t="s">
        <v>143</v>
      </c>
      <c r="C100" s="42" t="s">
        <v>33</v>
      </c>
      <c r="D100" s="42" t="s">
        <v>100</v>
      </c>
      <c r="E100" s="37" t="s">
        <v>142</v>
      </c>
      <c r="F100" s="36" t="s">
        <v>42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32">
        <f t="shared" si="1"/>
        <v>0</v>
      </c>
    </row>
    <row r="101" spans="1:12" ht="30.75" customHeight="1" hidden="1">
      <c r="A101" s="19"/>
      <c r="B101" s="92" t="s">
        <v>144</v>
      </c>
      <c r="C101" s="42" t="s">
        <v>33</v>
      </c>
      <c r="D101" s="42" t="s">
        <v>100</v>
      </c>
      <c r="E101" s="37" t="s">
        <v>145</v>
      </c>
      <c r="F101" s="36"/>
      <c r="G101" s="9">
        <f>G102</f>
        <v>1000</v>
      </c>
      <c r="H101" s="9">
        <f>H102+H103</f>
        <v>1000</v>
      </c>
      <c r="I101" s="9">
        <f>I102+I103</f>
        <v>1000</v>
      </c>
      <c r="J101" s="9">
        <f>J102+J103</f>
        <v>600</v>
      </c>
      <c r="K101" s="29">
        <f>K102+K103</f>
        <v>396.2</v>
      </c>
      <c r="L101" s="32">
        <f t="shared" si="1"/>
        <v>-400</v>
      </c>
    </row>
    <row r="102" spans="1:12" ht="66" customHeight="1" hidden="1">
      <c r="A102" s="19"/>
      <c r="B102" s="28" t="s">
        <v>146</v>
      </c>
      <c r="C102" s="42" t="s">
        <v>33</v>
      </c>
      <c r="D102" s="42" t="s">
        <v>100</v>
      </c>
      <c r="E102" s="37" t="s">
        <v>147</v>
      </c>
      <c r="F102" s="36" t="s">
        <v>31</v>
      </c>
      <c r="G102" s="9">
        <f>1000</f>
        <v>1000</v>
      </c>
      <c r="H102" s="9">
        <f>1000-100</f>
        <v>900</v>
      </c>
      <c r="I102" s="9">
        <f>1000-100</f>
        <v>900</v>
      </c>
      <c r="J102" s="9">
        <f>1000-100-450</f>
        <v>450</v>
      </c>
      <c r="K102" s="29">
        <v>246.2</v>
      </c>
      <c r="L102" s="32">
        <f t="shared" si="1"/>
        <v>-450</v>
      </c>
    </row>
    <row r="103" spans="1:12" ht="47.25" customHeight="1" hidden="1">
      <c r="A103" s="19"/>
      <c r="B103" s="28" t="s">
        <v>148</v>
      </c>
      <c r="C103" s="42" t="s">
        <v>33</v>
      </c>
      <c r="D103" s="42" t="s">
        <v>100</v>
      </c>
      <c r="E103" s="37" t="s">
        <v>147</v>
      </c>
      <c r="F103" s="36" t="s">
        <v>42</v>
      </c>
      <c r="G103" s="9">
        <v>0</v>
      </c>
      <c r="H103" s="9">
        <f>0+100</f>
        <v>100</v>
      </c>
      <c r="I103" s="9">
        <f>0+100</f>
        <v>100</v>
      </c>
      <c r="J103" s="9">
        <f>0+100+50</f>
        <v>150</v>
      </c>
      <c r="K103" s="29">
        <f>0+100+50</f>
        <v>150</v>
      </c>
      <c r="L103" s="32">
        <f t="shared" si="1"/>
        <v>50</v>
      </c>
    </row>
    <row r="104" spans="1:12" ht="23.25" customHeight="1" hidden="1">
      <c r="A104" s="19"/>
      <c r="B104" s="24" t="s">
        <v>34</v>
      </c>
      <c r="C104" s="36" t="s">
        <v>33</v>
      </c>
      <c r="D104" s="36" t="s">
        <v>100</v>
      </c>
      <c r="E104" s="37" t="s">
        <v>21</v>
      </c>
      <c r="F104" s="36"/>
      <c r="G104" s="9">
        <f aca="true" t="shared" si="12" ref="G104:K105">G105</f>
        <v>300</v>
      </c>
      <c r="H104" s="90">
        <f t="shared" si="12"/>
        <v>565.6</v>
      </c>
      <c r="I104" s="90">
        <f t="shared" si="12"/>
        <v>565.6</v>
      </c>
      <c r="J104" s="90">
        <f t="shared" si="12"/>
        <v>565.6</v>
      </c>
      <c r="K104" s="90">
        <f t="shared" si="12"/>
        <v>0</v>
      </c>
      <c r="L104" s="32">
        <f t="shared" si="1"/>
        <v>0</v>
      </c>
    </row>
    <row r="105" spans="1:12" ht="23.25" customHeight="1" hidden="1">
      <c r="A105" s="19"/>
      <c r="B105" s="24" t="s">
        <v>22</v>
      </c>
      <c r="C105" s="36" t="s">
        <v>33</v>
      </c>
      <c r="D105" s="36" t="s">
        <v>100</v>
      </c>
      <c r="E105" s="37" t="s">
        <v>36</v>
      </c>
      <c r="F105" s="36"/>
      <c r="G105" s="9">
        <f t="shared" si="12"/>
        <v>300</v>
      </c>
      <c r="H105" s="90">
        <f t="shared" si="12"/>
        <v>565.6</v>
      </c>
      <c r="I105" s="90">
        <f t="shared" si="12"/>
        <v>565.6</v>
      </c>
      <c r="J105" s="90">
        <f t="shared" si="12"/>
        <v>565.6</v>
      </c>
      <c r="K105" s="90">
        <f t="shared" si="12"/>
        <v>0</v>
      </c>
      <c r="L105" s="32">
        <f t="shared" si="1"/>
        <v>0</v>
      </c>
    </row>
    <row r="106" spans="1:12" ht="111.75" customHeight="1" hidden="1">
      <c r="A106" s="19"/>
      <c r="B106" s="81" t="s">
        <v>149</v>
      </c>
      <c r="C106" s="36" t="s">
        <v>33</v>
      </c>
      <c r="D106" s="36" t="s">
        <v>100</v>
      </c>
      <c r="E106" s="37" t="s">
        <v>150</v>
      </c>
      <c r="F106" s="36" t="s">
        <v>31</v>
      </c>
      <c r="G106" s="9">
        <v>300</v>
      </c>
      <c r="H106" s="90">
        <f>300+265.6</f>
        <v>565.6</v>
      </c>
      <c r="I106" s="90">
        <f>300+265.6</f>
        <v>565.6</v>
      </c>
      <c r="J106" s="90">
        <f>300+265.6</f>
        <v>565.6</v>
      </c>
      <c r="K106" s="90">
        <v>0</v>
      </c>
      <c r="L106" s="32">
        <f t="shared" si="1"/>
        <v>0</v>
      </c>
    </row>
    <row r="107" spans="1:12" ht="24" customHeight="1">
      <c r="A107" s="19"/>
      <c r="B107" s="24" t="s">
        <v>151</v>
      </c>
      <c r="C107" s="36" t="s">
        <v>33</v>
      </c>
      <c r="D107" s="36" t="s">
        <v>152</v>
      </c>
      <c r="E107" s="37"/>
      <c r="F107" s="36"/>
      <c r="G107" s="9">
        <f>G108+G111+G114+G117+G120</f>
        <v>1276.8</v>
      </c>
      <c r="H107" s="9">
        <f>H108+H111+H114+H117+H120</f>
        <v>1438.8</v>
      </c>
      <c r="I107" s="9">
        <f>I108+I111+I114+I117+I120</f>
        <v>1438.8</v>
      </c>
      <c r="J107" s="48">
        <f>J108+J111+J114+J117+J120</f>
        <v>1317.25196</v>
      </c>
      <c r="K107" s="29">
        <v>4678.5</v>
      </c>
      <c r="L107" s="18">
        <f t="shared" si="1"/>
        <v>-121.5480399999999</v>
      </c>
    </row>
    <row r="108" spans="1:12" ht="58.5" customHeight="1" hidden="1">
      <c r="A108" s="19"/>
      <c r="B108" s="20" t="s">
        <v>153</v>
      </c>
      <c r="C108" s="49" t="s">
        <v>33</v>
      </c>
      <c r="D108" s="49" t="s">
        <v>154</v>
      </c>
      <c r="E108" s="50" t="s">
        <v>155</v>
      </c>
      <c r="F108" s="49"/>
      <c r="G108" s="14">
        <f aca="true" t="shared" si="13" ref="G108:K109">G109</f>
        <v>50</v>
      </c>
      <c r="H108" s="14">
        <f t="shared" si="13"/>
        <v>50</v>
      </c>
      <c r="I108" s="14">
        <f t="shared" si="13"/>
        <v>50</v>
      </c>
      <c r="J108" s="14">
        <f t="shared" si="13"/>
        <v>45</v>
      </c>
      <c r="K108" s="16">
        <f t="shared" si="13"/>
        <v>45</v>
      </c>
      <c r="L108" s="32">
        <f t="shared" si="1"/>
        <v>-5</v>
      </c>
    </row>
    <row r="109" spans="1:12" ht="31.5" customHeight="1" hidden="1">
      <c r="A109" s="19"/>
      <c r="B109" s="24" t="s">
        <v>156</v>
      </c>
      <c r="C109" s="36" t="s">
        <v>33</v>
      </c>
      <c r="D109" s="36" t="s">
        <v>152</v>
      </c>
      <c r="E109" s="37" t="s">
        <v>157</v>
      </c>
      <c r="F109" s="36"/>
      <c r="G109" s="9">
        <f t="shared" si="13"/>
        <v>50</v>
      </c>
      <c r="H109" s="9">
        <f t="shared" si="13"/>
        <v>50</v>
      </c>
      <c r="I109" s="9">
        <f t="shared" si="13"/>
        <v>50</v>
      </c>
      <c r="J109" s="9">
        <f t="shared" si="13"/>
        <v>45</v>
      </c>
      <c r="K109" s="29">
        <f t="shared" si="13"/>
        <v>45</v>
      </c>
      <c r="L109" s="32">
        <f t="shared" si="1"/>
        <v>-5</v>
      </c>
    </row>
    <row r="110" spans="1:12" ht="31.5" customHeight="1" hidden="1">
      <c r="A110" s="19"/>
      <c r="B110" s="24" t="s">
        <v>158</v>
      </c>
      <c r="C110" s="36" t="s">
        <v>33</v>
      </c>
      <c r="D110" s="36" t="s">
        <v>152</v>
      </c>
      <c r="E110" s="37" t="s">
        <v>159</v>
      </c>
      <c r="F110" s="36" t="s">
        <v>31</v>
      </c>
      <c r="G110" s="9">
        <v>50</v>
      </c>
      <c r="H110" s="9">
        <v>50</v>
      </c>
      <c r="I110" s="9">
        <v>50</v>
      </c>
      <c r="J110" s="9">
        <f>50-5</f>
        <v>45</v>
      </c>
      <c r="K110" s="29">
        <f>50-5</f>
        <v>45</v>
      </c>
      <c r="L110" s="32">
        <f t="shared" si="1"/>
        <v>-5</v>
      </c>
    </row>
    <row r="111" spans="1:12" ht="69" customHeight="1" hidden="1">
      <c r="A111" s="19"/>
      <c r="B111" s="20" t="s">
        <v>160</v>
      </c>
      <c r="C111" s="49" t="s">
        <v>33</v>
      </c>
      <c r="D111" s="49" t="s">
        <v>152</v>
      </c>
      <c r="E111" s="94" t="s">
        <v>100</v>
      </c>
      <c r="F111" s="91"/>
      <c r="G111" s="14">
        <f aca="true" t="shared" si="14" ref="G111:K112">G112</f>
        <v>50</v>
      </c>
      <c r="H111" s="14">
        <f t="shared" si="14"/>
        <v>50</v>
      </c>
      <c r="I111" s="14">
        <f t="shared" si="14"/>
        <v>50</v>
      </c>
      <c r="J111" s="14">
        <f t="shared" si="14"/>
        <v>25</v>
      </c>
      <c r="K111" s="16">
        <f t="shared" si="14"/>
        <v>25</v>
      </c>
      <c r="L111" s="32">
        <f t="shared" si="1"/>
        <v>-25</v>
      </c>
    </row>
    <row r="112" spans="1:12" ht="31.5" customHeight="1" hidden="1">
      <c r="A112" s="19"/>
      <c r="B112" s="24" t="s">
        <v>161</v>
      </c>
      <c r="C112" s="36" t="s">
        <v>33</v>
      </c>
      <c r="D112" s="36" t="s">
        <v>152</v>
      </c>
      <c r="E112" s="64" t="s">
        <v>162</v>
      </c>
      <c r="F112" s="91"/>
      <c r="G112" s="9">
        <f t="shared" si="14"/>
        <v>50</v>
      </c>
      <c r="H112" s="9">
        <f t="shared" si="14"/>
        <v>50</v>
      </c>
      <c r="I112" s="9">
        <f t="shared" si="14"/>
        <v>50</v>
      </c>
      <c r="J112" s="9">
        <f t="shared" si="14"/>
        <v>25</v>
      </c>
      <c r="K112" s="29">
        <f t="shared" si="14"/>
        <v>25</v>
      </c>
      <c r="L112" s="32">
        <f t="shared" si="1"/>
        <v>-25</v>
      </c>
    </row>
    <row r="113" spans="1:12" ht="33.75" customHeight="1" hidden="1">
      <c r="A113" s="19"/>
      <c r="B113" s="24" t="s">
        <v>158</v>
      </c>
      <c r="C113" s="36" t="s">
        <v>33</v>
      </c>
      <c r="D113" s="36" t="s">
        <v>152</v>
      </c>
      <c r="E113" s="64" t="s">
        <v>163</v>
      </c>
      <c r="F113" s="91" t="s">
        <v>31</v>
      </c>
      <c r="G113" s="9">
        <f>50</f>
        <v>50</v>
      </c>
      <c r="H113" s="9">
        <f>50</f>
        <v>50</v>
      </c>
      <c r="I113" s="9">
        <f>50</f>
        <v>50</v>
      </c>
      <c r="J113" s="9">
        <f>50-25</f>
        <v>25</v>
      </c>
      <c r="K113" s="29">
        <f>50-25</f>
        <v>25</v>
      </c>
      <c r="L113" s="32">
        <f t="shared" si="1"/>
        <v>-25</v>
      </c>
    </row>
    <row r="114" spans="1:12" ht="100.5" customHeight="1" hidden="1">
      <c r="A114" s="19"/>
      <c r="B114" s="20" t="s">
        <v>164</v>
      </c>
      <c r="C114" s="49" t="s">
        <v>33</v>
      </c>
      <c r="D114" s="49" t="s">
        <v>152</v>
      </c>
      <c r="E114" s="50" t="s">
        <v>165</v>
      </c>
      <c r="F114" s="49"/>
      <c r="G114" s="14">
        <f aca="true" t="shared" si="15" ref="G114:K115">G115</f>
        <v>60</v>
      </c>
      <c r="H114" s="14">
        <f t="shared" si="15"/>
        <v>222</v>
      </c>
      <c r="I114" s="14">
        <f t="shared" si="15"/>
        <v>222</v>
      </c>
      <c r="J114" s="14">
        <f t="shared" si="15"/>
        <v>214.9</v>
      </c>
      <c r="K114" s="16">
        <f t="shared" si="15"/>
        <v>214.9</v>
      </c>
      <c r="L114" s="32">
        <f t="shared" si="1"/>
        <v>-7.099999999999994</v>
      </c>
    </row>
    <row r="115" spans="1:12" ht="30" customHeight="1" hidden="1">
      <c r="A115" s="19"/>
      <c r="B115" s="24" t="s">
        <v>166</v>
      </c>
      <c r="C115" s="36" t="s">
        <v>33</v>
      </c>
      <c r="D115" s="36" t="s">
        <v>152</v>
      </c>
      <c r="E115" s="37" t="s">
        <v>167</v>
      </c>
      <c r="F115" s="36"/>
      <c r="G115" s="9">
        <f t="shared" si="15"/>
        <v>60</v>
      </c>
      <c r="H115" s="9">
        <f t="shared" si="15"/>
        <v>222</v>
      </c>
      <c r="I115" s="9">
        <f t="shared" si="15"/>
        <v>222</v>
      </c>
      <c r="J115" s="9">
        <f t="shared" si="15"/>
        <v>214.9</v>
      </c>
      <c r="K115" s="29">
        <f t="shared" si="15"/>
        <v>214.9</v>
      </c>
      <c r="L115" s="32">
        <f t="shared" si="1"/>
        <v>-7.099999999999994</v>
      </c>
    </row>
    <row r="116" spans="1:12" ht="39" customHeight="1" hidden="1">
      <c r="A116" s="19"/>
      <c r="B116" s="24" t="s">
        <v>60</v>
      </c>
      <c r="C116" s="36" t="s">
        <v>33</v>
      </c>
      <c r="D116" s="36" t="s">
        <v>152</v>
      </c>
      <c r="E116" s="37" t="s">
        <v>168</v>
      </c>
      <c r="F116" s="36" t="s">
        <v>31</v>
      </c>
      <c r="G116" s="9">
        <f>60</f>
        <v>60</v>
      </c>
      <c r="H116" s="9">
        <f>60+162</f>
        <v>222</v>
      </c>
      <c r="I116" s="9">
        <f>60+162</f>
        <v>222</v>
      </c>
      <c r="J116" s="9">
        <f>60+162-7.1</f>
        <v>214.9</v>
      </c>
      <c r="K116" s="29">
        <f>60+162-7.1</f>
        <v>214.9</v>
      </c>
      <c r="L116" s="32">
        <f t="shared" si="1"/>
        <v>-7.099999999999994</v>
      </c>
    </row>
    <row r="117" spans="1:12" ht="51" customHeight="1" hidden="1">
      <c r="A117" s="19"/>
      <c r="B117" s="20" t="s">
        <v>169</v>
      </c>
      <c r="C117" s="49" t="s">
        <v>33</v>
      </c>
      <c r="D117" s="49" t="s">
        <v>152</v>
      </c>
      <c r="E117" s="50" t="s">
        <v>53</v>
      </c>
      <c r="F117" s="36"/>
      <c r="G117" s="14">
        <f aca="true" t="shared" si="16" ref="G117:K118">G118</f>
        <v>10</v>
      </c>
      <c r="H117" s="14">
        <f t="shared" si="16"/>
        <v>10</v>
      </c>
      <c r="I117" s="14">
        <f t="shared" si="16"/>
        <v>10</v>
      </c>
      <c r="J117" s="14">
        <f t="shared" si="16"/>
        <v>0</v>
      </c>
      <c r="K117" s="14">
        <f t="shared" si="16"/>
        <v>0</v>
      </c>
      <c r="L117" s="32">
        <f t="shared" si="1"/>
        <v>-10</v>
      </c>
    </row>
    <row r="118" spans="1:12" ht="31.5" customHeight="1" hidden="1">
      <c r="A118" s="19"/>
      <c r="B118" s="24" t="s">
        <v>170</v>
      </c>
      <c r="C118" s="36" t="s">
        <v>33</v>
      </c>
      <c r="D118" s="36" t="s">
        <v>152</v>
      </c>
      <c r="E118" s="37" t="s">
        <v>171</v>
      </c>
      <c r="F118" s="36"/>
      <c r="G118" s="9">
        <f t="shared" si="16"/>
        <v>10</v>
      </c>
      <c r="H118" s="9">
        <f t="shared" si="16"/>
        <v>10</v>
      </c>
      <c r="I118" s="9">
        <f t="shared" si="16"/>
        <v>10</v>
      </c>
      <c r="J118" s="9">
        <f t="shared" si="16"/>
        <v>0</v>
      </c>
      <c r="K118" s="9">
        <f t="shared" si="16"/>
        <v>0</v>
      </c>
      <c r="L118" s="32">
        <f t="shared" si="1"/>
        <v>-10</v>
      </c>
    </row>
    <row r="119" spans="1:12" ht="39.75" customHeight="1" hidden="1">
      <c r="A119" s="19"/>
      <c r="B119" s="24" t="s">
        <v>60</v>
      </c>
      <c r="C119" s="36" t="s">
        <v>33</v>
      </c>
      <c r="D119" s="36" t="s">
        <v>152</v>
      </c>
      <c r="E119" s="37" t="s">
        <v>172</v>
      </c>
      <c r="F119" s="36" t="s">
        <v>31</v>
      </c>
      <c r="G119" s="9">
        <f>10</f>
        <v>10</v>
      </c>
      <c r="H119" s="9">
        <f>10</f>
        <v>10</v>
      </c>
      <c r="I119" s="9">
        <f>10</f>
        <v>10</v>
      </c>
      <c r="J119" s="9">
        <f>10-10</f>
        <v>0</v>
      </c>
      <c r="K119" s="9">
        <f>10-10</f>
        <v>0</v>
      </c>
      <c r="L119" s="32">
        <f t="shared" si="1"/>
        <v>-10</v>
      </c>
    </row>
    <row r="120" spans="1:12" ht="73.5" customHeight="1" hidden="1">
      <c r="A120" s="19"/>
      <c r="B120" s="20" t="s">
        <v>65</v>
      </c>
      <c r="C120" s="49" t="s">
        <v>33</v>
      </c>
      <c r="D120" s="49" t="s">
        <v>152</v>
      </c>
      <c r="E120" s="50" t="s">
        <v>19</v>
      </c>
      <c r="F120" s="36"/>
      <c r="G120" s="14">
        <f aca="true" t="shared" si="17" ref="G120:K121">G121</f>
        <v>1106.8</v>
      </c>
      <c r="H120" s="14">
        <f t="shared" si="17"/>
        <v>1106.8</v>
      </c>
      <c r="I120" s="14">
        <f t="shared" si="17"/>
        <v>1106.8</v>
      </c>
      <c r="J120" s="15">
        <f t="shared" si="17"/>
        <v>1032.35196</v>
      </c>
      <c r="K120" s="16">
        <f t="shared" si="17"/>
        <v>1032.35196</v>
      </c>
      <c r="L120" s="18">
        <f t="shared" si="1"/>
        <v>-74.44803999999999</v>
      </c>
    </row>
    <row r="121" spans="1:12" ht="41.25" customHeight="1" hidden="1">
      <c r="A121" s="19"/>
      <c r="B121" s="39" t="s">
        <v>173</v>
      </c>
      <c r="C121" s="36" t="s">
        <v>33</v>
      </c>
      <c r="D121" s="36" t="s">
        <v>152</v>
      </c>
      <c r="E121" s="37" t="s">
        <v>67</v>
      </c>
      <c r="F121" s="36"/>
      <c r="G121" s="9">
        <f t="shared" si="17"/>
        <v>1106.8</v>
      </c>
      <c r="H121" s="9">
        <f t="shared" si="17"/>
        <v>1106.8</v>
      </c>
      <c r="I121" s="9">
        <f t="shared" si="17"/>
        <v>1106.8</v>
      </c>
      <c r="J121" s="48">
        <f t="shared" si="17"/>
        <v>1032.35196</v>
      </c>
      <c r="K121" s="29">
        <f t="shared" si="17"/>
        <v>1032.35196</v>
      </c>
      <c r="L121" s="18">
        <f t="shared" si="1"/>
        <v>-74.44803999999999</v>
      </c>
    </row>
    <row r="122" spans="1:12" ht="99" customHeight="1" hidden="1">
      <c r="A122" s="19"/>
      <c r="B122" s="33" t="s">
        <v>68</v>
      </c>
      <c r="C122" s="42" t="s">
        <v>33</v>
      </c>
      <c r="D122" s="42" t="s">
        <v>152</v>
      </c>
      <c r="E122" s="43" t="s">
        <v>69</v>
      </c>
      <c r="F122" s="36" t="s">
        <v>26</v>
      </c>
      <c r="G122" s="9">
        <f>850+256.8</f>
        <v>1106.8</v>
      </c>
      <c r="H122" s="9">
        <f>850+256.8</f>
        <v>1106.8</v>
      </c>
      <c r="I122" s="9">
        <f>850+256.8</f>
        <v>1106.8</v>
      </c>
      <c r="J122" s="48">
        <f>850+256.8-74.44804</f>
        <v>1032.35196</v>
      </c>
      <c r="K122" s="29">
        <f>850+256.8-74.44804</f>
        <v>1032.35196</v>
      </c>
      <c r="L122" s="18">
        <f t="shared" si="1"/>
        <v>-74.44803999999999</v>
      </c>
    </row>
    <row r="123" spans="1:12" ht="31.5" customHeight="1" hidden="1">
      <c r="A123" s="19"/>
      <c r="B123" s="24" t="s">
        <v>174</v>
      </c>
      <c r="C123" s="95" t="s">
        <v>33</v>
      </c>
      <c r="D123" s="82" t="s">
        <v>152</v>
      </c>
      <c r="E123" s="75" t="s">
        <v>175</v>
      </c>
      <c r="F123" s="82"/>
      <c r="G123" s="14">
        <f aca="true" t="shared" si="18" ref="G123:K124">G124</f>
        <v>0</v>
      </c>
      <c r="H123" s="14">
        <f t="shared" si="18"/>
        <v>0</v>
      </c>
      <c r="I123" s="14">
        <f t="shared" si="18"/>
        <v>0</v>
      </c>
      <c r="J123" s="14">
        <f t="shared" si="18"/>
        <v>0</v>
      </c>
      <c r="K123" s="14">
        <f t="shared" si="18"/>
        <v>0</v>
      </c>
      <c r="L123" s="32">
        <f t="shared" si="1"/>
        <v>0</v>
      </c>
    </row>
    <row r="124" spans="1:12" ht="46.5" customHeight="1" hidden="1">
      <c r="A124" s="19"/>
      <c r="B124" s="51" t="s">
        <v>176</v>
      </c>
      <c r="C124" s="82" t="s">
        <v>33</v>
      </c>
      <c r="D124" s="82" t="s">
        <v>152</v>
      </c>
      <c r="E124" s="75" t="s">
        <v>177</v>
      </c>
      <c r="F124" s="82"/>
      <c r="G124" s="14">
        <f t="shared" si="18"/>
        <v>0</v>
      </c>
      <c r="H124" s="14">
        <f t="shared" si="18"/>
        <v>0</v>
      </c>
      <c r="I124" s="14">
        <f t="shared" si="18"/>
        <v>0</v>
      </c>
      <c r="J124" s="14">
        <f t="shared" si="18"/>
        <v>0</v>
      </c>
      <c r="K124" s="14">
        <f t="shared" si="18"/>
        <v>0</v>
      </c>
      <c r="L124" s="32">
        <f t="shared" si="1"/>
        <v>0</v>
      </c>
    </row>
    <row r="125" spans="1:12" ht="44.25" customHeight="1" hidden="1">
      <c r="A125" s="19"/>
      <c r="B125" s="39" t="s">
        <v>178</v>
      </c>
      <c r="C125" s="82" t="s">
        <v>33</v>
      </c>
      <c r="D125" s="82" t="s">
        <v>152</v>
      </c>
      <c r="E125" s="75" t="s">
        <v>179</v>
      </c>
      <c r="F125" s="82" t="s">
        <v>31</v>
      </c>
      <c r="G125" s="14">
        <f>G126+G127+G128</f>
        <v>0</v>
      </c>
      <c r="H125" s="14">
        <f>H126+H127+H128</f>
        <v>0</v>
      </c>
      <c r="I125" s="14">
        <f>I126+I127+I128</f>
        <v>0</v>
      </c>
      <c r="J125" s="14">
        <f>J126+J127+J128</f>
        <v>0</v>
      </c>
      <c r="K125" s="14">
        <f>K126+K127+K128</f>
        <v>0</v>
      </c>
      <c r="L125" s="32">
        <f t="shared" si="1"/>
        <v>0</v>
      </c>
    </row>
    <row r="126" spans="1:12" ht="44.25" customHeight="1" hidden="1">
      <c r="A126" s="19"/>
      <c r="B126" s="39" t="s">
        <v>180</v>
      </c>
      <c r="C126" s="82" t="s">
        <v>33</v>
      </c>
      <c r="D126" s="82" t="s">
        <v>152</v>
      </c>
      <c r="E126" s="75" t="s">
        <v>181</v>
      </c>
      <c r="F126" s="82" t="s">
        <v>31</v>
      </c>
      <c r="G126" s="14"/>
      <c r="H126" s="14"/>
      <c r="I126" s="14"/>
      <c r="J126" s="14"/>
      <c r="K126" s="14"/>
      <c r="L126" s="32">
        <f t="shared" si="1"/>
        <v>0</v>
      </c>
    </row>
    <row r="127" spans="1:12" ht="48" customHeight="1" hidden="1">
      <c r="A127" s="19"/>
      <c r="B127" s="39" t="s">
        <v>180</v>
      </c>
      <c r="C127" s="82" t="s">
        <v>33</v>
      </c>
      <c r="D127" s="82" t="s">
        <v>152</v>
      </c>
      <c r="E127" s="75" t="s">
        <v>182</v>
      </c>
      <c r="F127" s="82" t="s">
        <v>31</v>
      </c>
      <c r="G127" s="14"/>
      <c r="H127" s="14"/>
      <c r="I127" s="14"/>
      <c r="J127" s="14"/>
      <c r="K127" s="14"/>
      <c r="L127" s="32">
        <f t="shared" si="1"/>
        <v>0</v>
      </c>
    </row>
    <row r="128" spans="1:12" ht="48" customHeight="1" hidden="1">
      <c r="A128" s="19"/>
      <c r="B128" s="39" t="s">
        <v>180</v>
      </c>
      <c r="C128" s="82" t="s">
        <v>33</v>
      </c>
      <c r="D128" s="82" t="s">
        <v>152</v>
      </c>
      <c r="E128" s="75" t="s">
        <v>183</v>
      </c>
      <c r="F128" s="82" t="s">
        <v>31</v>
      </c>
      <c r="G128" s="14"/>
      <c r="H128" s="14"/>
      <c r="I128" s="14"/>
      <c r="J128" s="14"/>
      <c r="K128" s="14"/>
      <c r="L128" s="32">
        <f t="shared" si="1"/>
        <v>0</v>
      </c>
    </row>
    <row r="129" spans="1:12" ht="24.75" customHeight="1">
      <c r="A129" s="19"/>
      <c r="B129" s="20" t="s">
        <v>184</v>
      </c>
      <c r="C129" s="49" t="s">
        <v>122</v>
      </c>
      <c r="D129" s="49"/>
      <c r="E129" s="37"/>
      <c r="F129" s="36"/>
      <c r="G129" s="14">
        <f>G130+G149+G155+G185</f>
        <v>69879.8</v>
      </c>
      <c r="H129" s="15">
        <f>H130+H149+H155+H185</f>
        <v>71628.65322000001</v>
      </c>
      <c r="I129" s="15">
        <f>I130+I149+I155+I185</f>
        <v>75998.32233999998</v>
      </c>
      <c r="J129" s="15">
        <f>J130+J149+J155+J185</f>
        <v>155769.24436</v>
      </c>
      <c r="K129" s="17">
        <f>K130+K149+K155+K185</f>
        <v>210859.80000000002</v>
      </c>
      <c r="L129" s="18">
        <f t="shared" si="1"/>
        <v>79770.92202000003</v>
      </c>
    </row>
    <row r="130" spans="1:12" ht="23.25" customHeight="1">
      <c r="A130" s="19"/>
      <c r="B130" s="24" t="s">
        <v>185</v>
      </c>
      <c r="C130" s="36" t="s">
        <v>122</v>
      </c>
      <c r="D130" s="36" t="s">
        <v>17</v>
      </c>
      <c r="E130" s="37"/>
      <c r="F130" s="36"/>
      <c r="G130" s="9">
        <f>$G$131+$G$146</f>
        <v>55489.399999999994</v>
      </c>
      <c r="H130" s="48">
        <f>$H$131+$H$146</f>
        <v>54078.19337</v>
      </c>
      <c r="I130" s="48">
        <f>I131+I146</f>
        <v>56591.071759999984</v>
      </c>
      <c r="J130" s="48">
        <f>J131+J146</f>
        <v>136516.21157</v>
      </c>
      <c r="K130" s="29">
        <v>143576.2</v>
      </c>
      <c r="L130" s="18">
        <f t="shared" si="1"/>
        <v>79925.13981000002</v>
      </c>
    </row>
    <row r="131" spans="1:12" ht="63" customHeight="1" hidden="1">
      <c r="A131" s="19"/>
      <c r="B131" s="92" t="s">
        <v>186</v>
      </c>
      <c r="C131" s="82" t="s">
        <v>122</v>
      </c>
      <c r="D131" s="82" t="s">
        <v>17</v>
      </c>
      <c r="E131" s="75" t="s">
        <v>152</v>
      </c>
      <c r="F131" s="36"/>
      <c r="G131" s="9">
        <f>$G$132+$G$142</f>
        <v>54659.399999999994</v>
      </c>
      <c r="H131" s="48">
        <f>$H$132+$H$142</f>
        <v>53248.19337</v>
      </c>
      <c r="I131" s="48">
        <f>I132+I142</f>
        <v>55761.071759999984</v>
      </c>
      <c r="J131" s="48">
        <f>J132+J142</f>
        <v>135691.06815</v>
      </c>
      <c r="K131" s="29">
        <f>K132+K142</f>
        <v>55207.63915</v>
      </c>
      <c r="L131" s="18">
        <f t="shared" si="1"/>
        <v>79929.99639000001</v>
      </c>
    </row>
    <row r="132" spans="1:12" ht="54.75" customHeight="1" hidden="1">
      <c r="A132" s="19"/>
      <c r="B132" s="92" t="s">
        <v>187</v>
      </c>
      <c r="C132" s="82" t="s">
        <v>122</v>
      </c>
      <c r="D132" s="82" t="s">
        <v>17</v>
      </c>
      <c r="E132" s="75" t="s">
        <v>188</v>
      </c>
      <c r="F132" s="82"/>
      <c r="G132" s="9">
        <f>$G$136+$G$139+$G$141</f>
        <v>44247.09999999999</v>
      </c>
      <c r="H132" s="48">
        <f>$H$136+$H$139+$H$141+$H$133</f>
        <v>44578.07063</v>
      </c>
      <c r="I132" s="48">
        <f>I133+I135</f>
        <v>47090.949019999985</v>
      </c>
      <c r="J132" s="48">
        <f>J133+J135</f>
        <v>127240.029</v>
      </c>
      <c r="K132" s="29">
        <f>K133+K135</f>
        <v>46756.6</v>
      </c>
      <c r="L132" s="18">
        <f t="shared" si="1"/>
        <v>80149.07998000001</v>
      </c>
    </row>
    <row r="133" spans="1:12" ht="45.75" customHeight="1" hidden="1">
      <c r="A133" s="19"/>
      <c r="B133" s="96" t="s">
        <v>189</v>
      </c>
      <c r="C133" s="82" t="s">
        <v>122</v>
      </c>
      <c r="D133" s="82" t="s">
        <v>17</v>
      </c>
      <c r="E133" s="75" t="s">
        <v>190</v>
      </c>
      <c r="F133" s="82"/>
      <c r="G133" s="9">
        <v>0</v>
      </c>
      <c r="H133" s="48">
        <f>$H$134</f>
        <v>330.94103</v>
      </c>
      <c r="I133" s="48">
        <f>I134</f>
        <v>318.31350000000003</v>
      </c>
      <c r="J133" s="48">
        <f>J134</f>
        <v>700.6978</v>
      </c>
      <c r="K133" s="29">
        <f>K134</f>
        <v>40.6</v>
      </c>
      <c r="L133" s="18">
        <f t="shared" si="1"/>
        <v>382.3843</v>
      </c>
    </row>
    <row r="134" spans="1:12" ht="76.5" customHeight="1" hidden="1">
      <c r="A134" s="19"/>
      <c r="B134" s="24" t="s">
        <v>191</v>
      </c>
      <c r="C134" s="82" t="s">
        <v>122</v>
      </c>
      <c r="D134" s="82" t="s">
        <v>17</v>
      </c>
      <c r="E134" s="75" t="s">
        <v>192</v>
      </c>
      <c r="F134" s="82" t="s">
        <v>84</v>
      </c>
      <c r="G134" s="9">
        <v>0</v>
      </c>
      <c r="H134" s="48">
        <f>0+330.94103</f>
        <v>330.94103</v>
      </c>
      <c r="I134" s="48">
        <f>0+330.94103-12.62753</f>
        <v>318.31350000000003</v>
      </c>
      <c r="J134" s="48">
        <f>0+330.94103-12.62753+41.62588-319.31858+660.077</f>
        <v>700.6978</v>
      </c>
      <c r="K134" s="29">
        <v>40.6</v>
      </c>
      <c r="L134" s="18">
        <f t="shared" si="1"/>
        <v>382.3843</v>
      </c>
    </row>
    <row r="135" spans="1:12" ht="64.5" customHeight="1" hidden="1">
      <c r="A135" s="19"/>
      <c r="B135" s="97" t="s">
        <v>193</v>
      </c>
      <c r="C135" s="82" t="s">
        <v>122</v>
      </c>
      <c r="D135" s="82" t="s">
        <v>17</v>
      </c>
      <c r="E135" s="75" t="s">
        <v>194</v>
      </c>
      <c r="F135" s="82"/>
      <c r="G135" s="9">
        <f>$G$136+$G$139+$G$141</f>
        <v>44247.09999999999</v>
      </c>
      <c r="H135" s="48">
        <f>$H$136+$H$139+$H$141</f>
        <v>44247.1296</v>
      </c>
      <c r="I135" s="48">
        <f>I137+I139+I141</f>
        <v>46772.63551999999</v>
      </c>
      <c r="J135" s="48">
        <f>J137+J139+J141</f>
        <v>126539.3312</v>
      </c>
      <c r="K135" s="29">
        <f>K137+K139+K141</f>
        <v>46716</v>
      </c>
      <c r="L135" s="18">
        <f t="shared" si="1"/>
        <v>79766.69568</v>
      </c>
    </row>
    <row r="136" spans="1:12" ht="94.5" customHeight="1" hidden="1">
      <c r="A136" s="19"/>
      <c r="B136" s="24" t="s">
        <v>195</v>
      </c>
      <c r="C136" s="82" t="s">
        <v>122</v>
      </c>
      <c r="D136" s="82" t="s">
        <v>17</v>
      </c>
      <c r="E136" s="75" t="s">
        <v>196</v>
      </c>
      <c r="F136" s="82" t="s">
        <v>84</v>
      </c>
      <c r="G136" s="9">
        <v>43362.2</v>
      </c>
      <c r="H136" s="48">
        <f>43362.2-0.01299</f>
        <v>43362.187009999994</v>
      </c>
      <c r="I136" s="48">
        <f>43362.2-0.01299+2474.9958</f>
        <v>45837.18280999999</v>
      </c>
      <c r="J136" s="48">
        <f>43362.2-0.01299+2474.9958+78171.3561</f>
        <v>124008.53891</v>
      </c>
      <c r="K136" s="29">
        <v>45781.7</v>
      </c>
      <c r="L136" s="18">
        <f t="shared" si="1"/>
        <v>78171.3561</v>
      </c>
    </row>
    <row r="137" spans="1:12" ht="15.75" customHeight="1" hidden="1">
      <c r="A137" s="19"/>
      <c r="B137" s="98" t="s">
        <v>197</v>
      </c>
      <c r="C137" s="82" t="s">
        <v>122</v>
      </c>
      <c r="D137" s="82" t="s">
        <v>17</v>
      </c>
      <c r="E137" s="75" t="s">
        <v>196</v>
      </c>
      <c r="F137" s="82" t="s">
        <v>84</v>
      </c>
      <c r="G137" s="9">
        <v>43362.2</v>
      </c>
      <c r="H137" s="48">
        <f>43362.2-0.01299</f>
        <v>43362.187009999994</v>
      </c>
      <c r="I137" s="48">
        <f>43362.2-0.01299+2474.9958</f>
        <v>45837.18280999999</v>
      </c>
      <c r="J137" s="48">
        <f>43362.2-0.01299+2474.9958+78171.3561</f>
        <v>124008.53891</v>
      </c>
      <c r="K137" s="29">
        <v>45781.6</v>
      </c>
      <c r="L137" s="18">
        <f t="shared" si="1"/>
        <v>78171.3561</v>
      </c>
    </row>
    <row r="138" spans="1:12" ht="60" customHeight="1" hidden="1">
      <c r="A138" s="19"/>
      <c r="B138" s="24" t="s">
        <v>198</v>
      </c>
      <c r="C138" s="82" t="s">
        <v>122</v>
      </c>
      <c r="D138" s="82" t="s">
        <v>17</v>
      </c>
      <c r="E138" s="75" t="s">
        <v>199</v>
      </c>
      <c r="F138" s="82" t="s">
        <v>84</v>
      </c>
      <c r="G138" s="9">
        <v>663.7</v>
      </c>
      <c r="H138" s="48">
        <f>663.7+0.00694</f>
        <v>663.70694</v>
      </c>
      <c r="I138" s="48">
        <f>663.7+0.00694+37.88259</f>
        <v>701.5895300000001</v>
      </c>
      <c r="J138" s="48">
        <f>663.7+0.00694+37.88259+1196.50044</f>
        <v>1898.08997</v>
      </c>
      <c r="K138" s="29">
        <v>700.8</v>
      </c>
      <c r="L138" s="18">
        <f t="shared" si="1"/>
        <v>1196.5004399999998</v>
      </c>
    </row>
    <row r="139" spans="1:12" ht="15.75" customHeight="1" hidden="1">
      <c r="A139" s="19"/>
      <c r="B139" s="98" t="s">
        <v>200</v>
      </c>
      <c r="C139" s="82" t="s">
        <v>122</v>
      </c>
      <c r="D139" s="82" t="s">
        <v>17</v>
      </c>
      <c r="E139" s="75" t="s">
        <v>199</v>
      </c>
      <c r="F139" s="82" t="s">
        <v>84</v>
      </c>
      <c r="G139" s="9">
        <v>663.7</v>
      </c>
      <c r="H139" s="48">
        <v>663.70694</v>
      </c>
      <c r="I139" s="48">
        <f>663.70694+37.88259</f>
        <v>701.5895300000001</v>
      </c>
      <c r="J139" s="48">
        <f>663.70694+37.88259+1196.50044</f>
        <v>1898.08997</v>
      </c>
      <c r="K139" s="29">
        <v>700.8</v>
      </c>
      <c r="L139" s="18">
        <f t="shared" si="1"/>
        <v>1196.5004399999998</v>
      </c>
    </row>
    <row r="140" spans="1:12" ht="74.25" customHeight="1" hidden="1">
      <c r="A140" s="19"/>
      <c r="B140" s="24" t="s">
        <v>201</v>
      </c>
      <c r="C140" s="82" t="s">
        <v>122</v>
      </c>
      <c r="D140" s="82" t="s">
        <v>17</v>
      </c>
      <c r="E140" s="75" t="s">
        <v>202</v>
      </c>
      <c r="F140" s="82" t="s">
        <v>84</v>
      </c>
      <c r="G140" s="9">
        <v>221.2</v>
      </c>
      <c r="H140" s="48">
        <f>221.2+0.03565</f>
        <v>221.23565</v>
      </c>
      <c r="I140" s="48">
        <f>221.2+0.03565+12.62753</f>
        <v>233.86318</v>
      </c>
      <c r="J140" s="48">
        <f>221.2+0.03565+12.62753+398.83914</f>
        <v>632.70232</v>
      </c>
      <c r="K140" s="29">
        <v>233.6</v>
      </c>
      <c r="L140" s="18">
        <f t="shared" si="1"/>
        <v>398.83914</v>
      </c>
    </row>
    <row r="141" spans="1:12" ht="15.75" customHeight="1" hidden="1">
      <c r="A141" s="19"/>
      <c r="B141" s="98" t="s">
        <v>203</v>
      </c>
      <c r="C141" s="82" t="s">
        <v>122</v>
      </c>
      <c r="D141" s="82" t="s">
        <v>17</v>
      </c>
      <c r="E141" s="75" t="s">
        <v>202</v>
      </c>
      <c r="F141" s="82" t="s">
        <v>84</v>
      </c>
      <c r="G141" s="9">
        <v>221.2</v>
      </c>
      <c r="H141" s="48">
        <f>221.2+0.03565</f>
        <v>221.23565</v>
      </c>
      <c r="I141" s="48">
        <f>221.2+0.03565+12.62753</f>
        <v>233.86318</v>
      </c>
      <c r="J141" s="48">
        <f>221.2+0.03565+12.62753+398.83914</f>
        <v>632.70232</v>
      </c>
      <c r="K141" s="29">
        <v>233.6</v>
      </c>
      <c r="L141" s="18">
        <f t="shared" si="1"/>
        <v>398.83914</v>
      </c>
    </row>
    <row r="142" spans="1:12" ht="46.5" customHeight="1" hidden="1">
      <c r="A142" s="19"/>
      <c r="B142" s="20" t="s">
        <v>204</v>
      </c>
      <c r="C142" s="82" t="s">
        <v>122</v>
      </c>
      <c r="D142" s="82" t="s">
        <v>17</v>
      </c>
      <c r="E142" s="75" t="s">
        <v>205</v>
      </c>
      <c r="F142" s="36"/>
      <c r="G142" s="9">
        <f>$G$143</f>
        <v>10412.3</v>
      </c>
      <c r="H142" s="48">
        <f>$H$143</f>
        <v>8670.12274</v>
      </c>
      <c r="I142" s="48">
        <f>I143</f>
        <v>8670.12274</v>
      </c>
      <c r="J142" s="48">
        <f>J143</f>
        <v>8451.03915</v>
      </c>
      <c r="K142" s="29">
        <f>K143</f>
        <v>8451.03915</v>
      </c>
      <c r="L142" s="18">
        <f t="shared" si="1"/>
        <v>-219.08359000000019</v>
      </c>
    </row>
    <row r="143" spans="1:12" ht="45" customHeight="1" hidden="1">
      <c r="A143" s="19"/>
      <c r="B143" s="24" t="s">
        <v>206</v>
      </c>
      <c r="C143" s="82" t="s">
        <v>122</v>
      </c>
      <c r="D143" s="82" t="s">
        <v>17</v>
      </c>
      <c r="E143" s="75" t="s">
        <v>207</v>
      </c>
      <c r="F143" s="36"/>
      <c r="G143" s="9">
        <f>$G$144+$G$145</f>
        <v>10412.3</v>
      </c>
      <c r="H143" s="48">
        <f>$H$144+$H$145</f>
        <v>8670.12274</v>
      </c>
      <c r="I143" s="48">
        <f>I144+I145</f>
        <v>8670.12274</v>
      </c>
      <c r="J143" s="48">
        <f>J144+J145</f>
        <v>8451.03915</v>
      </c>
      <c r="K143" s="29">
        <f>K144+K145</f>
        <v>8451.03915</v>
      </c>
      <c r="L143" s="18">
        <f t="shared" si="1"/>
        <v>-219.08359000000019</v>
      </c>
    </row>
    <row r="144" spans="1:12" ht="57.75" customHeight="1" hidden="1">
      <c r="A144" s="19"/>
      <c r="B144" s="81" t="s">
        <v>208</v>
      </c>
      <c r="C144" s="82" t="s">
        <v>122</v>
      </c>
      <c r="D144" s="82" t="s">
        <v>17</v>
      </c>
      <c r="E144" s="75" t="s">
        <v>209</v>
      </c>
      <c r="F144" s="82" t="s">
        <v>84</v>
      </c>
      <c r="G144" s="9">
        <v>8434</v>
      </c>
      <c r="H144" s="48">
        <f>8434-1411.20058</f>
        <v>7022.79942</v>
      </c>
      <c r="I144" s="48">
        <f>8434-1411.20058</f>
        <v>7022.79942</v>
      </c>
      <c r="J144" s="48">
        <f>8434-1411.20058-177.45771</f>
        <v>6845.341710000001</v>
      </c>
      <c r="K144" s="29">
        <f>8434-1411.20058-177.45771</f>
        <v>6845.341710000001</v>
      </c>
      <c r="L144" s="18">
        <f t="shared" si="1"/>
        <v>-177.45770999999968</v>
      </c>
    </row>
    <row r="145" spans="1:12" ht="60" customHeight="1" hidden="1">
      <c r="A145" s="19"/>
      <c r="B145" s="81" t="s">
        <v>210</v>
      </c>
      <c r="C145" s="82" t="s">
        <v>122</v>
      </c>
      <c r="D145" s="82" t="s">
        <v>17</v>
      </c>
      <c r="E145" s="75" t="s">
        <v>211</v>
      </c>
      <c r="F145" s="82" t="s">
        <v>84</v>
      </c>
      <c r="G145" s="9">
        <v>1978.3</v>
      </c>
      <c r="H145" s="48">
        <f>1978.3-330.97668</f>
        <v>1647.32332</v>
      </c>
      <c r="I145" s="48">
        <f>1978.3-330.97668</f>
        <v>1647.32332</v>
      </c>
      <c r="J145" s="48">
        <f>1978.3-330.97668-41.62588</f>
        <v>1605.69744</v>
      </c>
      <c r="K145" s="29">
        <f>1978.3-330.97668-41.62588</f>
        <v>1605.69744</v>
      </c>
      <c r="L145" s="18">
        <f t="shared" si="1"/>
        <v>-41.62588000000005</v>
      </c>
    </row>
    <row r="146" spans="1:12" ht="36" customHeight="1" hidden="1">
      <c r="A146" s="19"/>
      <c r="B146" s="24" t="s">
        <v>212</v>
      </c>
      <c r="C146" s="36" t="s">
        <v>122</v>
      </c>
      <c r="D146" s="36" t="s">
        <v>17</v>
      </c>
      <c r="E146" s="37" t="s">
        <v>58</v>
      </c>
      <c r="F146" s="36"/>
      <c r="G146" s="9">
        <f aca="true" t="shared" si="19" ref="G146:K147">G147</f>
        <v>830</v>
      </c>
      <c r="H146" s="9">
        <f t="shared" si="19"/>
        <v>830</v>
      </c>
      <c r="I146" s="9">
        <f t="shared" si="19"/>
        <v>830</v>
      </c>
      <c r="J146" s="48">
        <f t="shared" si="19"/>
        <v>825.14342</v>
      </c>
      <c r="K146" s="29">
        <f t="shared" si="19"/>
        <v>825.14342</v>
      </c>
      <c r="L146" s="18">
        <f t="shared" si="1"/>
        <v>-4.856580000000008</v>
      </c>
    </row>
    <row r="147" spans="1:12" ht="33.75" customHeight="1" hidden="1">
      <c r="A147" s="19"/>
      <c r="B147" s="70" t="s">
        <v>213</v>
      </c>
      <c r="C147" s="36" t="s">
        <v>122</v>
      </c>
      <c r="D147" s="36" t="s">
        <v>17</v>
      </c>
      <c r="E147" s="37" t="s">
        <v>214</v>
      </c>
      <c r="F147" s="36"/>
      <c r="G147" s="9">
        <f t="shared" si="19"/>
        <v>830</v>
      </c>
      <c r="H147" s="9">
        <f t="shared" si="19"/>
        <v>830</v>
      </c>
      <c r="I147" s="9">
        <f t="shared" si="19"/>
        <v>830</v>
      </c>
      <c r="J147" s="48">
        <f t="shared" si="19"/>
        <v>825.14342</v>
      </c>
      <c r="K147" s="29">
        <f t="shared" si="19"/>
        <v>825.14342</v>
      </c>
      <c r="L147" s="18">
        <f t="shared" si="1"/>
        <v>-4.856580000000008</v>
      </c>
    </row>
    <row r="148" spans="1:12" ht="46.5" customHeight="1" hidden="1">
      <c r="A148" s="19"/>
      <c r="B148" s="81" t="s">
        <v>215</v>
      </c>
      <c r="C148" s="36" t="s">
        <v>122</v>
      </c>
      <c r="D148" s="36" t="s">
        <v>17</v>
      </c>
      <c r="E148" s="37" t="s">
        <v>216</v>
      </c>
      <c r="F148" s="36" t="s">
        <v>31</v>
      </c>
      <c r="G148" s="9">
        <v>830</v>
      </c>
      <c r="H148" s="9">
        <v>830</v>
      </c>
      <c r="I148" s="9">
        <v>830</v>
      </c>
      <c r="J148" s="48">
        <f>830-4.85658</f>
        <v>825.14342</v>
      </c>
      <c r="K148" s="29">
        <f>830-4.85658</f>
        <v>825.14342</v>
      </c>
      <c r="L148" s="18">
        <f t="shared" si="1"/>
        <v>-4.856580000000008</v>
      </c>
    </row>
    <row r="149" spans="1:12" ht="15.75" customHeight="1">
      <c r="A149" s="19"/>
      <c r="B149" s="70" t="s">
        <v>217</v>
      </c>
      <c r="C149" s="36" t="s">
        <v>122</v>
      </c>
      <c r="D149" s="36" t="s">
        <v>19</v>
      </c>
      <c r="E149" s="75"/>
      <c r="F149" s="36"/>
      <c r="G149" s="9">
        <f aca="true" t="shared" si="20" ref="G149:J150">G150</f>
        <v>400</v>
      </c>
      <c r="H149" s="9">
        <f t="shared" si="20"/>
        <v>2495.7219999999998</v>
      </c>
      <c r="I149" s="48">
        <f t="shared" si="20"/>
        <v>2515.4927299999995</v>
      </c>
      <c r="J149" s="48">
        <f t="shared" si="20"/>
        <v>2515.4927299999995</v>
      </c>
      <c r="K149" s="29">
        <v>51378</v>
      </c>
      <c r="L149" s="32">
        <f t="shared" si="1"/>
        <v>0</v>
      </c>
    </row>
    <row r="150" spans="1:12" ht="15.75" customHeight="1" hidden="1">
      <c r="A150" s="19"/>
      <c r="B150" s="70" t="s">
        <v>20</v>
      </c>
      <c r="C150" s="36" t="s">
        <v>122</v>
      </c>
      <c r="D150" s="36" t="s">
        <v>19</v>
      </c>
      <c r="E150" s="75" t="s">
        <v>21</v>
      </c>
      <c r="F150" s="36"/>
      <c r="G150" s="9">
        <f t="shared" si="20"/>
        <v>400</v>
      </c>
      <c r="H150" s="9">
        <f t="shared" si="20"/>
        <v>2495.7219999999998</v>
      </c>
      <c r="I150" s="48">
        <f t="shared" si="20"/>
        <v>2515.4927299999995</v>
      </c>
      <c r="J150" s="48">
        <f t="shared" si="20"/>
        <v>2515.4927299999995</v>
      </c>
      <c r="K150" s="29">
        <f>K151</f>
        <v>2152.5</v>
      </c>
      <c r="L150" s="48">
        <f>L151</f>
        <v>0</v>
      </c>
    </row>
    <row r="151" spans="1:12" ht="15.75" customHeight="1" hidden="1">
      <c r="A151" s="19"/>
      <c r="B151" s="70" t="s">
        <v>54</v>
      </c>
      <c r="C151" s="36" t="s">
        <v>122</v>
      </c>
      <c r="D151" s="36" t="s">
        <v>19</v>
      </c>
      <c r="E151" s="75" t="s">
        <v>36</v>
      </c>
      <c r="F151" s="36"/>
      <c r="G151" s="9">
        <f>G152</f>
        <v>400</v>
      </c>
      <c r="H151" s="9">
        <f>H152+H153+H154</f>
        <v>2495.7219999999998</v>
      </c>
      <c r="I151" s="48">
        <f>I152+I153+I154</f>
        <v>2515.4927299999995</v>
      </c>
      <c r="J151" s="48">
        <f>J152+J153+J154</f>
        <v>2515.4927299999995</v>
      </c>
      <c r="K151" s="29">
        <f>K152+K153+K154</f>
        <v>2152.5</v>
      </c>
      <c r="L151" s="48">
        <f>L152+L153+L154</f>
        <v>0</v>
      </c>
    </row>
    <row r="152" spans="1:12" ht="126" customHeight="1" hidden="1">
      <c r="A152" s="19"/>
      <c r="B152" s="81" t="s">
        <v>149</v>
      </c>
      <c r="C152" s="82" t="s">
        <v>122</v>
      </c>
      <c r="D152" s="82" t="s">
        <v>19</v>
      </c>
      <c r="E152" s="37" t="s">
        <v>150</v>
      </c>
      <c r="F152" s="82" t="s">
        <v>31</v>
      </c>
      <c r="G152" s="9">
        <v>400</v>
      </c>
      <c r="H152" s="9">
        <v>400</v>
      </c>
      <c r="I152" s="48">
        <v>400</v>
      </c>
      <c r="J152" s="48">
        <v>400</v>
      </c>
      <c r="K152" s="29">
        <v>150</v>
      </c>
      <c r="L152" s="32">
        <f aca="true" t="shared" si="21" ref="L152:L221">J152-I152</f>
        <v>0</v>
      </c>
    </row>
    <row r="153" spans="1:13" ht="47.25" customHeight="1" hidden="1">
      <c r="A153" s="19"/>
      <c r="B153" s="99" t="s">
        <v>218</v>
      </c>
      <c r="C153" s="82" t="s">
        <v>122</v>
      </c>
      <c r="D153" s="82" t="s">
        <v>19</v>
      </c>
      <c r="E153" s="75" t="s">
        <v>219</v>
      </c>
      <c r="F153" s="100" t="s">
        <v>84</v>
      </c>
      <c r="G153" s="9">
        <v>0</v>
      </c>
      <c r="H153" s="9">
        <f>0+1835.1</f>
        <v>1835.1</v>
      </c>
      <c r="I153" s="48">
        <f>0+1835.1+19.77073</f>
        <v>1854.8707299999999</v>
      </c>
      <c r="J153" s="48">
        <f>0+1835.1+19.77073</f>
        <v>1854.8707299999999</v>
      </c>
      <c r="K153" s="29">
        <v>1854.9</v>
      </c>
      <c r="L153" s="32">
        <f t="shared" si="21"/>
        <v>0</v>
      </c>
      <c r="M153" t="s">
        <v>220</v>
      </c>
    </row>
    <row r="154" spans="1:12" ht="47.25" customHeight="1" hidden="1">
      <c r="A154" s="19"/>
      <c r="B154" s="99" t="s">
        <v>221</v>
      </c>
      <c r="C154" s="82" t="s">
        <v>122</v>
      </c>
      <c r="D154" s="82" t="s">
        <v>19</v>
      </c>
      <c r="E154" s="75" t="s">
        <v>219</v>
      </c>
      <c r="F154" s="100" t="s">
        <v>31</v>
      </c>
      <c r="G154" s="9">
        <v>0</v>
      </c>
      <c r="H154" s="9">
        <f>0+112.972+88.95+58.7</f>
        <v>260.622</v>
      </c>
      <c r="I154" s="48">
        <f>0+112.972+88.95+58.7+19.77073-19.77073</f>
        <v>260.622</v>
      </c>
      <c r="J154" s="48">
        <f>0+112.972+88.95+58.7+19.77073-19.77073</f>
        <v>260.622</v>
      </c>
      <c r="K154" s="29">
        <v>147.6</v>
      </c>
      <c r="L154" s="32">
        <f t="shared" si="21"/>
        <v>0</v>
      </c>
    </row>
    <row r="155" spans="1:12" ht="15.75" customHeight="1">
      <c r="A155" s="19"/>
      <c r="B155" s="24" t="s">
        <v>222</v>
      </c>
      <c r="C155" s="36" t="s">
        <v>122</v>
      </c>
      <c r="D155" s="36" t="s">
        <v>28</v>
      </c>
      <c r="E155" s="37"/>
      <c r="F155" s="36"/>
      <c r="G155" s="9">
        <f>G156+G160+G171+G182</f>
        <v>12123.3</v>
      </c>
      <c r="H155" s="48">
        <f>H156+H160+H171+H182</f>
        <v>13187.63785</v>
      </c>
      <c r="I155" s="48">
        <f>I156+I160+I171+I182</f>
        <v>15024.65785</v>
      </c>
      <c r="J155" s="48">
        <f>J156+J160+J171+J182</f>
        <v>14752.70015</v>
      </c>
      <c r="K155" s="29">
        <v>14058.6</v>
      </c>
      <c r="L155" s="18">
        <f t="shared" si="21"/>
        <v>-271.957699999999</v>
      </c>
    </row>
    <row r="156" spans="1:12" ht="54.75" customHeight="1" hidden="1">
      <c r="A156" s="19"/>
      <c r="B156" s="24" t="s">
        <v>101</v>
      </c>
      <c r="C156" s="36" t="s">
        <v>122</v>
      </c>
      <c r="D156" s="36" t="s">
        <v>28</v>
      </c>
      <c r="E156" s="37" t="s">
        <v>33</v>
      </c>
      <c r="F156" s="36"/>
      <c r="G156" s="9">
        <f>G157</f>
        <v>200</v>
      </c>
      <c r="H156" s="9">
        <f>H157</f>
        <v>667</v>
      </c>
      <c r="I156" s="9">
        <f>I157</f>
        <v>667</v>
      </c>
      <c r="J156" s="9">
        <f>J157</f>
        <v>315.75</v>
      </c>
      <c r="K156" s="29">
        <f>K157</f>
        <v>315.7</v>
      </c>
      <c r="L156" s="32">
        <f t="shared" si="21"/>
        <v>-351.25</v>
      </c>
    </row>
    <row r="157" spans="1:12" ht="33" customHeight="1" hidden="1">
      <c r="A157" s="19"/>
      <c r="B157" s="24" t="s">
        <v>223</v>
      </c>
      <c r="C157" s="36" t="s">
        <v>122</v>
      </c>
      <c r="D157" s="36" t="s">
        <v>28</v>
      </c>
      <c r="E157" s="37" t="s">
        <v>103</v>
      </c>
      <c r="F157" s="36"/>
      <c r="G157" s="9">
        <f>G158</f>
        <v>200</v>
      </c>
      <c r="H157" s="9">
        <f>H158+H159</f>
        <v>667</v>
      </c>
      <c r="I157" s="9">
        <f>I158+I159</f>
        <v>667</v>
      </c>
      <c r="J157" s="9">
        <f>J158+J159</f>
        <v>315.75</v>
      </c>
      <c r="K157" s="29">
        <f>K158+K159</f>
        <v>315.7</v>
      </c>
      <c r="L157" s="32">
        <f t="shared" si="21"/>
        <v>-351.25</v>
      </c>
    </row>
    <row r="158" spans="1:12" ht="48" customHeight="1" hidden="1">
      <c r="A158" s="19"/>
      <c r="B158" s="81" t="s">
        <v>104</v>
      </c>
      <c r="C158" s="36" t="s">
        <v>122</v>
      </c>
      <c r="D158" s="36" t="s">
        <v>28</v>
      </c>
      <c r="E158" s="37" t="s">
        <v>105</v>
      </c>
      <c r="F158" s="36" t="s">
        <v>31</v>
      </c>
      <c r="G158" s="9">
        <v>200</v>
      </c>
      <c r="H158" s="9">
        <f>200+467</f>
        <v>667</v>
      </c>
      <c r="I158" s="9">
        <f>200+467-49.42+49.42</f>
        <v>667</v>
      </c>
      <c r="J158" s="9">
        <f>200+467-49.42+49.42-100-251.25</f>
        <v>315.75</v>
      </c>
      <c r="K158" s="29">
        <v>315.7</v>
      </c>
      <c r="L158" s="32">
        <f t="shared" si="21"/>
        <v>-351.25</v>
      </c>
    </row>
    <row r="159" spans="1:12" ht="48" customHeight="1" hidden="1">
      <c r="A159" s="19"/>
      <c r="B159" s="81" t="s">
        <v>104</v>
      </c>
      <c r="C159" s="36" t="s">
        <v>122</v>
      </c>
      <c r="D159" s="36" t="s">
        <v>28</v>
      </c>
      <c r="E159" s="37" t="s">
        <v>105</v>
      </c>
      <c r="F159" s="36" t="s">
        <v>31</v>
      </c>
      <c r="G159" s="9">
        <f>0</f>
        <v>0</v>
      </c>
      <c r="H159" s="9">
        <f>0</f>
        <v>0</v>
      </c>
      <c r="I159" s="9">
        <f>0+49.42-49.42</f>
        <v>0</v>
      </c>
      <c r="J159" s="9">
        <f>0+49.42-49.42</f>
        <v>0</v>
      </c>
      <c r="K159" s="9">
        <f>0+49.42-49.42</f>
        <v>0</v>
      </c>
      <c r="L159" s="32">
        <f t="shared" si="21"/>
        <v>0</v>
      </c>
    </row>
    <row r="160" spans="1:12" ht="61.5" customHeight="1" hidden="1">
      <c r="A160" s="19"/>
      <c r="B160" s="24" t="s">
        <v>123</v>
      </c>
      <c r="C160" s="36" t="s">
        <v>122</v>
      </c>
      <c r="D160" s="36" t="s">
        <v>28</v>
      </c>
      <c r="E160" s="37" t="s">
        <v>224</v>
      </c>
      <c r="F160" s="36"/>
      <c r="G160" s="9">
        <f>G161+G165+G167+G169</f>
        <v>3350</v>
      </c>
      <c r="H160" s="48">
        <f>H161+H165+H167+H169</f>
        <v>3438.68931</v>
      </c>
      <c r="I160" s="48">
        <f>I161+I165+I167+I169</f>
        <v>5138.68931</v>
      </c>
      <c r="J160" s="48">
        <f>J161+J165+J167+J169</f>
        <v>5360.54747</v>
      </c>
      <c r="K160" s="29">
        <f>K161+K165+K167+K169</f>
        <v>5077.2</v>
      </c>
      <c r="L160" s="32">
        <f t="shared" si="21"/>
        <v>221.85816000000068</v>
      </c>
    </row>
    <row r="161" spans="1:12" ht="24.75" customHeight="1" hidden="1">
      <c r="A161" s="19"/>
      <c r="B161" s="81" t="s">
        <v>225</v>
      </c>
      <c r="C161" s="36" t="s">
        <v>122</v>
      </c>
      <c r="D161" s="36" t="s">
        <v>28</v>
      </c>
      <c r="E161" s="37" t="s">
        <v>226</v>
      </c>
      <c r="F161" s="36"/>
      <c r="G161" s="9">
        <f>G162</f>
        <v>2000</v>
      </c>
      <c r="H161" s="55">
        <f>H162+H164</f>
        <v>2088.68931</v>
      </c>
      <c r="I161" s="55">
        <f>I162+I164</f>
        <v>3388.68931</v>
      </c>
      <c r="J161" s="55">
        <f>J162+J164</f>
        <v>3388.68931</v>
      </c>
      <c r="K161" s="55">
        <f>K162+K164</f>
        <v>3120.1</v>
      </c>
      <c r="L161" s="32">
        <f t="shared" si="21"/>
        <v>0</v>
      </c>
    </row>
    <row r="162" spans="1:12" ht="48" customHeight="1" hidden="1">
      <c r="A162" s="19"/>
      <c r="B162" s="24" t="s">
        <v>227</v>
      </c>
      <c r="C162" s="36" t="s">
        <v>122</v>
      </c>
      <c r="D162" s="36" t="s">
        <v>28</v>
      </c>
      <c r="E162" s="37" t="s">
        <v>228</v>
      </c>
      <c r="F162" s="36" t="s">
        <v>31</v>
      </c>
      <c r="G162" s="9">
        <v>2000</v>
      </c>
      <c r="H162" s="55">
        <f>2000+85.12807</f>
        <v>2085.12807</v>
      </c>
      <c r="I162" s="55">
        <f>2000+85.12807+1300</f>
        <v>3385.12807</v>
      </c>
      <c r="J162" s="55">
        <f>2000+85.12807+1300</f>
        <v>3385.12807</v>
      </c>
      <c r="K162" s="55">
        <v>3116.5</v>
      </c>
      <c r="L162" s="32">
        <f t="shared" si="21"/>
        <v>0</v>
      </c>
    </row>
    <row r="163" spans="1:12" ht="30.75" customHeight="1" hidden="1">
      <c r="A163" s="19"/>
      <c r="B163" s="24" t="s">
        <v>229</v>
      </c>
      <c r="C163" s="36" t="s">
        <v>122</v>
      </c>
      <c r="D163" s="36" t="s">
        <v>28</v>
      </c>
      <c r="E163" s="37" t="s">
        <v>228</v>
      </c>
      <c r="F163" s="36" t="s">
        <v>42</v>
      </c>
      <c r="G163" s="48"/>
      <c r="H163" s="48"/>
      <c r="I163" s="48"/>
      <c r="J163" s="48"/>
      <c r="K163" s="48"/>
      <c r="L163" s="32">
        <f t="shared" si="21"/>
        <v>0</v>
      </c>
    </row>
    <row r="164" spans="1:12" ht="30.75" customHeight="1" hidden="1">
      <c r="A164" s="19"/>
      <c r="B164" s="24" t="s">
        <v>229</v>
      </c>
      <c r="C164" s="36" t="s">
        <v>122</v>
      </c>
      <c r="D164" s="36" t="s">
        <v>28</v>
      </c>
      <c r="E164" s="37" t="s">
        <v>228</v>
      </c>
      <c r="F164" s="36" t="s">
        <v>42</v>
      </c>
      <c r="G164" s="48">
        <v>0</v>
      </c>
      <c r="H164" s="48">
        <f>1.45593+2.10531</f>
        <v>3.56124</v>
      </c>
      <c r="I164" s="48">
        <f>1.45593+2.10531</f>
        <v>3.56124</v>
      </c>
      <c r="J164" s="48">
        <f>1.45593+2.10531</f>
        <v>3.56124</v>
      </c>
      <c r="K164" s="29">
        <v>3.6</v>
      </c>
      <c r="L164" s="32">
        <f t="shared" si="21"/>
        <v>0</v>
      </c>
    </row>
    <row r="165" spans="1:12" ht="37.5" customHeight="1" hidden="1">
      <c r="A165" s="19"/>
      <c r="B165" s="81" t="s">
        <v>230</v>
      </c>
      <c r="C165" s="36" t="s">
        <v>122</v>
      </c>
      <c r="D165" s="36" t="s">
        <v>28</v>
      </c>
      <c r="E165" s="37" t="s">
        <v>231</v>
      </c>
      <c r="F165" s="36"/>
      <c r="G165" s="9">
        <f>G166</f>
        <v>50</v>
      </c>
      <c r="H165" s="9">
        <f>H166</f>
        <v>50</v>
      </c>
      <c r="I165" s="9">
        <f>I166</f>
        <v>50</v>
      </c>
      <c r="J165" s="9">
        <f>J166</f>
        <v>0</v>
      </c>
      <c r="K165" s="9">
        <f>K166</f>
        <v>0</v>
      </c>
      <c r="L165" s="32">
        <f t="shared" si="21"/>
        <v>-50</v>
      </c>
    </row>
    <row r="166" spans="1:12" ht="48.75" customHeight="1" hidden="1">
      <c r="A166" s="19"/>
      <c r="B166" s="24" t="s">
        <v>232</v>
      </c>
      <c r="C166" s="36" t="s">
        <v>122</v>
      </c>
      <c r="D166" s="36" t="s">
        <v>28</v>
      </c>
      <c r="E166" s="37" t="s">
        <v>233</v>
      </c>
      <c r="F166" s="36" t="s">
        <v>31</v>
      </c>
      <c r="G166" s="9">
        <v>50</v>
      </c>
      <c r="H166" s="9">
        <v>50</v>
      </c>
      <c r="I166" s="9">
        <v>50</v>
      </c>
      <c r="J166" s="9">
        <f>50-50</f>
        <v>0</v>
      </c>
      <c r="K166" s="9">
        <f>50-50</f>
        <v>0</v>
      </c>
      <c r="L166" s="32">
        <f t="shared" si="21"/>
        <v>-50</v>
      </c>
    </row>
    <row r="167" spans="1:12" ht="33" customHeight="1" hidden="1">
      <c r="A167" s="19"/>
      <c r="B167" s="81" t="s">
        <v>234</v>
      </c>
      <c r="C167" s="36" t="s">
        <v>122</v>
      </c>
      <c r="D167" s="36" t="s">
        <v>28</v>
      </c>
      <c r="E167" s="37" t="s">
        <v>235</v>
      </c>
      <c r="F167" s="36"/>
      <c r="G167" s="9">
        <f>G168</f>
        <v>700</v>
      </c>
      <c r="H167" s="9">
        <f>H168</f>
        <v>700</v>
      </c>
      <c r="I167" s="9">
        <f>I168</f>
        <v>700</v>
      </c>
      <c r="J167" s="48">
        <f>J168</f>
        <v>849.56439</v>
      </c>
      <c r="K167" s="29">
        <f>K168</f>
        <v>834.8</v>
      </c>
      <c r="L167" s="18">
        <f t="shared" si="21"/>
        <v>149.56439</v>
      </c>
    </row>
    <row r="168" spans="1:12" ht="46.5" customHeight="1" hidden="1">
      <c r="A168" s="19"/>
      <c r="B168" s="24" t="s">
        <v>236</v>
      </c>
      <c r="C168" s="36" t="s">
        <v>122</v>
      </c>
      <c r="D168" s="36" t="s">
        <v>28</v>
      </c>
      <c r="E168" s="37" t="s">
        <v>237</v>
      </c>
      <c r="F168" s="36" t="s">
        <v>31</v>
      </c>
      <c r="G168" s="9">
        <f>700</f>
        <v>700</v>
      </c>
      <c r="H168" s="9">
        <f>700</f>
        <v>700</v>
      </c>
      <c r="I168" s="9">
        <f>700</f>
        <v>700</v>
      </c>
      <c r="J168" s="48">
        <f>700+149.56439</f>
        <v>849.56439</v>
      </c>
      <c r="K168" s="29">
        <v>834.8</v>
      </c>
      <c r="L168" s="18">
        <f t="shared" si="21"/>
        <v>149.56439</v>
      </c>
    </row>
    <row r="169" spans="1:12" ht="35.25" customHeight="1" hidden="1">
      <c r="A169" s="19"/>
      <c r="B169" s="81" t="s">
        <v>238</v>
      </c>
      <c r="C169" s="36" t="s">
        <v>122</v>
      </c>
      <c r="D169" s="36" t="s">
        <v>28</v>
      </c>
      <c r="E169" s="37" t="s">
        <v>239</v>
      </c>
      <c r="F169" s="36"/>
      <c r="G169" s="9">
        <f>G170</f>
        <v>600</v>
      </c>
      <c r="H169" s="9">
        <f>H170</f>
        <v>600</v>
      </c>
      <c r="I169" s="9">
        <f>I170</f>
        <v>1000</v>
      </c>
      <c r="J169" s="48">
        <f>J170</f>
        <v>1122.29377</v>
      </c>
      <c r="K169" s="29">
        <f>K170</f>
        <v>1122.3</v>
      </c>
      <c r="L169" s="18">
        <f t="shared" si="21"/>
        <v>122.29377</v>
      </c>
    </row>
    <row r="170" spans="1:12" ht="48.75" customHeight="1" hidden="1">
      <c r="A170" s="19"/>
      <c r="B170" s="24" t="s">
        <v>240</v>
      </c>
      <c r="C170" s="36" t="s">
        <v>122</v>
      </c>
      <c r="D170" s="36" t="s">
        <v>28</v>
      </c>
      <c r="E170" s="37" t="s">
        <v>241</v>
      </c>
      <c r="F170" s="36" t="s">
        <v>31</v>
      </c>
      <c r="G170" s="9">
        <v>600</v>
      </c>
      <c r="H170" s="9">
        <v>600</v>
      </c>
      <c r="I170" s="9">
        <f>600+200+200</f>
        <v>1000</v>
      </c>
      <c r="J170" s="48">
        <f>600+200+200+84+38.42183-0.12806</f>
        <v>1122.29377</v>
      </c>
      <c r="K170" s="29">
        <v>1122.3</v>
      </c>
      <c r="L170" s="18">
        <f t="shared" si="21"/>
        <v>122.29377</v>
      </c>
    </row>
    <row r="171" spans="1:12" ht="49.5" customHeight="1" hidden="1">
      <c r="A171" s="19"/>
      <c r="B171" s="92" t="s">
        <v>242</v>
      </c>
      <c r="C171" s="82" t="s">
        <v>122</v>
      </c>
      <c r="D171" s="82" t="s">
        <v>28</v>
      </c>
      <c r="E171" s="75" t="s">
        <v>111</v>
      </c>
      <c r="F171" s="82"/>
      <c r="G171" s="9">
        <f>G172+G180</f>
        <v>7173.3</v>
      </c>
      <c r="H171" s="48">
        <f>H172+H180</f>
        <v>7681.948539999999</v>
      </c>
      <c r="I171" s="48">
        <f>I172+I180</f>
        <v>7818.96854</v>
      </c>
      <c r="J171" s="48">
        <f>J172+J180</f>
        <v>7704.32356</v>
      </c>
      <c r="K171" s="29">
        <f>K172+K180</f>
        <v>7704.3</v>
      </c>
      <c r="L171" s="32">
        <f t="shared" si="21"/>
        <v>-114.64498000000003</v>
      </c>
    </row>
    <row r="172" spans="1:12" ht="65.25" customHeight="1" hidden="1">
      <c r="A172" s="19"/>
      <c r="B172" s="92" t="s">
        <v>243</v>
      </c>
      <c r="C172" s="82" t="s">
        <v>122</v>
      </c>
      <c r="D172" s="82" t="s">
        <v>28</v>
      </c>
      <c r="E172" s="75" t="s">
        <v>244</v>
      </c>
      <c r="F172" s="82"/>
      <c r="G172" s="9">
        <f>G173+G174+G175</f>
        <v>6919.3</v>
      </c>
      <c r="H172" s="9">
        <f>H173+H174+H175+H176+H178</f>
        <v>6919.2</v>
      </c>
      <c r="I172" s="9">
        <f>I173+I174+I175+I176+I178</f>
        <v>6919.2</v>
      </c>
      <c r="J172" s="9">
        <f>J173+J174+J175+J176+J178</f>
        <v>6919.2</v>
      </c>
      <c r="K172" s="29">
        <f>K173+K174+K175+K176+K178</f>
        <v>6919.2</v>
      </c>
      <c r="L172" s="32">
        <f t="shared" si="21"/>
        <v>0</v>
      </c>
    </row>
    <row r="173" spans="1:12" ht="86.25" customHeight="1" hidden="1">
      <c r="A173" s="19"/>
      <c r="B173" s="92" t="s">
        <v>245</v>
      </c>
      <c r="C173" s="82" t="s">
        <v>122</v>
      </c>
      <c r="D173" s="82" t="s">
        <v>28</v>
      </c>
      <c r="E173" s="75" t="s">
        <v>246</v>
      </c>
      <c r="F173" s="82" t="s">
        <v>31</v>
      </c>
      <c r="G173" s="9">
        <v>6005.7</v>
      </c>
      <c r="H173" s="9">
        <f>6005.7-6005.7</f>
        <v>0</v>
      </c>
      <c r="I173" s="9">
        <f>6005.7-6005.7</f>
        <v>0</v>
      </c>
      <c r="J173" s="9">
        <f>6005.7-6005.7</f>
        <v>0</v>
      </c>
      <c r="K173" s="9">
        <f>6005.7-6005.7</f>
        <v>0</v>
      </c>
      <c r="L173" s="32">
        <f t="shared" si="21"/>
        <v>0</v>
      </c>
    </row>
    <row r="174" spans="1:12" ht="91.5" customHeight="1" hidden="1">
      <c r="A174" s="19"/>
      <c r="B174" s="101" t="s">
        <v>247</v>
      </c>
      <c r="C174" s="82" t="s">
        <v>122</v>
      </c>
      <c r="D174" s="82" t="s">
        <v>28</v>
      </c>
      <c r="E174" s="75" t="s">
        <v>246</v>
      </c>
      <c r="F174" s="82" t="s">
        <v>31</v>
      </c>
      <c r="G174" s="9">
        <v>567.6</v>
      </c>
      <c r="H174" s="9">
        <f>567.6-567.6</f>
        <v>0</v>
      </c>
      <c r="I174" s="9">
        <f>567.6-567.6</f>
        <v>0</v>
      </c>
      <c r="J174" s="9">
        <f>567.6-567.6</f>
        <v>0</v>
      </c>
      <c r="K174" s="9">
        <f>567.6-567.6</f>
        <v>0</v>
      </c>
      <c r="L174" s="32">
        <f t="shared" si="21"/>
        <v>0</v>
      </c>
    </row>
    <row r="175" spans="1:12" ht="90" customHeight="1" hidden="1">
      <c r="A175" s="19"/>
      <c r="B175" s="101" t="s">
        <v>248</v>
      </c>
      <c r="C175" s="95" t="s">
        <v>122</v>
      </c>
      <c r="D175" s="82" t="s">
        <v>28</v>
      </c>
      <c r="E175" s="75" t="s">
        <v>246</v>
      </c>
      <c r="F175" s="82" t="s">
        <v>31</v>
      </c>
      <c r="G175" s="9">
        <v>346</v>
      </c>
      <c r="H175" s="9">
        <f>346-346</f>
        <v>0</v>
      </c>
      <c r="I175" s="9">
        <f>346-346</f>
        <v>0</v>
      </c>
      <c r="J175" s="9">
        <f>346-346</f>
        <v>0</v>
      </c>
      <c r="K175" s="9">
        <f>346-346</f>
        <v>0</v>
      </c>
      <c r="L175" s="32">
        <f t="shared" si="21"/>
        <v>0</v>
      </c>
    </row>
    <row r="176" spans="1:12" ht="82.5" customHeight="1" hidden="1">
      <c r="A176" s="19"/>
      <c r="B176" s="101" t="s">
        <v>249</v>
      </c>
      <c r="C176" s="95" t="s">
        <v>122</v>
      </c>
      <c r="D176" s="82" t="s">
        <v>28</v>
      </c>
      <c r="E176" s="75" t="s">
        <v>246</v>
      </c>
      <c r="F176" s="82" t="s">
        <v>31</v>
      </c>
      <c r="G176" s="9">
        <v>0</v>
      </c>
      <c r="H176" s="9">
        <f>6005.7+122.6+322.5</f>
        <v>6450.8</v>
      </c>
      <c r="I176" s="9">
        <f>6005.7+122.6+322.5</f>
        <v>6450.8</v>
      </c>
      <c r="J176" s="9">
        <f>6005.7+122.6+322.5</f>
        <v>6450.8</v>
      </c>
      <c r="K176" s="29">
        <f>6005.7+122.6+322.5</f>
        <v>6450.8</v>
      </c>
      <c r="L176" s="32">
        <f t="shared" si="21"/>
        <v>0</v>
      </c>
    </row>
    <row r="177" spans="1:12" ht="23.25" customHeight="1" hidden="1">
      <c r="A177" s="19"/>
      <c r="B177" s="102" t="s">
        <v>250</v>
      </c>
      <c r="C177" s="95" t="s">
        <v>122</v>
      </c>
      <c r="D177" s="82" t="s">
        <v>28</v>
      </c>
      <c r="E177" s="75" t="s">
        <v>246</v>
      </c>
      <c r="F177" s="82" t="s">
        <v>31</v>
      </c>
      <c r="G177" s="9"/>
      <c r="H177" s="9">
        <v>322.5</v>
      </c>
      <c r="I177" s="9">
        <v>322.5</v>
      </c>
      <c r="J177" s="9">
        <v>322.5</v>
      </c>
      <c r="K177" s="29">
        <v>322.5</v>
      </c>
      <c r="L177" s="32">
        <f t="shared" si="21"/>
        <v>0</v>
      </c>
    </row>
    <row r="178" spans="1:12" ht="76.5" customHeight="1" hidden="1">
      <c r="A178" s="19"/>
      <c r="B178" s="28" t="s">
        <v>251</v>
      </c>
      <c r="C178" s="82" t="s">
        <v>122</v>
      </c>
      <c r="D178" s="82" t="s">
        <v>28</v>
      </c>
      <c r="E178" s="75" t="s">
        <v>252</v>
      </c>
      <c r="F178" s="82" t="s">
        <v>31</v>
      </c>
      <c r="G178" s="9">
        <v>0</v>
      </c>
      <c r="H178" s="9">
        <f>0+445+23.4</f>
        <v>468.4</v>
      </c>
      <c r="I178" s="9">
        <f>0+445+23.4</f>
        <v>468.4</v>
      </c>
      <c r="J178" s="9">
        <f>0+445+23.4</f>
        <v>468.4</v>
      </c>
      <c r="K178" s="29">
        <f>0+445+23.4</f>
        <v>468.4</v>
      </c>
      <c r="L178" s="32">
        <f t="shared" si="21"/>
        <v>0</v>
      </c>
    </row>
    <row r="179" spans="1:12" ht="21.75" customHeight="1" hidden="1">
      <c r="A179" s="19"/>
      <c r="B179" s="102" t="s">
        <v>250</v>
      </c>
      <c r="C179" s="82" t="s">
        <v>122</v>
      </c>
      <c r="D179" s="82" t="s">
        <v>28</v>
      </c>
      <c r="E179" s="75" t="s">
        <v>252</v>
      </c>
      <c r="F179" s="82" t="s">
        <v>31</v>
      </c>
      <c r="G179" s="9">
        <v>0</v>
      </c>
      <c r="H179" s="9">
        <f>0+23.4</f>
        <v>23.4</v>
      </c>
      <c r="I179" s="9">
        <f>0+23.4</f>
        <v>23.4</v>
      </c>
      <c r="J179" s="9">
        <f>0+23.4</f>
        <v>23.4</v>
      </c>
      <c r="K179" s="29">
        <f>0+23.4</f>
        <v>23.4</v>
      </c>
      <c r="L179" s="32">
        <f t="shared" si="21"/>
        <v>0</v>
      </c>
    </row>
    <row r="180" spans="1:12" ht="36.75" customHeight="1" hidden="1">
      <c r="A180" s="19"/>
      <c r="B180" s="92" t="s">
        <v>253</v>
      </c>
      <c r="C180" s="82" t="s">
        <v>122</v>
      </c>
      <c r="D180" s="82" t="s">
        <v>28</v>
      </c>
      <c r="E180" s="75" t="s">
        <v>254</v>
      </c>
      <c r="F180" s="82"/>
      <c r="G180" s="9">
        <f>G181</f>
        <v>254</v>
      </c>
      <c r="H180" s="48">
        <f>H181</f>
        <v>762.74854</v>
      </c>
      <c r="I180" s="48">
        <f>I181</f>
        <v>899.76854</v>
      </c>
      <c r="J180" s="48">
        <f>J181</f>
        <v>785.12356</v>
      </c>
      <c r="K180" s="29">
        <f>K181</f>
        <v>785.1</v>
      </c>
      <c r="L180" s="18">
        <f t="shared" si="21"/>
        <v>-114.64498000000003</v>
      </c>
    </row>
    <row r="181" spans="1:12" ht="78" customHeight="1" hidden="1">
      <c r="A181" s="19"/>
      <c r="B181" s="92" t="s">
        <v>255</v>
      </c>
      <c r="C181" s="82" t="s">
        <v>122</v>
      </c>
      <c r="D181" s="82" t="s">
        <v>28</v>
      </c>
      <c r="E181" s="75" t="s">
        <v>256</v>
      </c>
      <c r="F181" s="82" t="s">
        <v>31</v>
      </c>
      <c r="G181" s="9">
        <v>254</v>
      </c>
      <c r="H181" s="48">
        <f>254+653.87985-653.87985+508.64854+0.1</f>
        <v>762.74854</v>
      </c>
      <c r="I181" s="48">
        <f>254+653.87985-653.87985+508.64854+0.1+137.02</f>
        <v>899.76854</v>
      </c>
      <c r="J181" s="48">
        <f>254+653.87985-653.87985+508.64854+0.1+137.02-84-9.93728-20.7077</f>
        <v>785.12356</v>
      </c>
      <c r="K181" s="29">
        <v>785.1</v>
      </c>
      <c r="L181" s="18">
        <f t="shared" si="21"/>
        <v>-114.64498000000003</v>
      </c>
    </row>
    <row r="182" spans="1:12" ht="49.5" customHeight="1" hidden="1">
      <c r="A182" s="19"/>
      <c r="B182" s="92" t="s">
        <v>257</v>
      </c>
      <c r="C182" s="82" t="s">
        <v>122</v>
      </c>
      <c r="D182" s="82" t="s">
        <v>28</v>
      </c>
      <c r="E182" s="75" t="s">
        <v>258</v>
      </c>
      <c r="F182" s="82"/>
      <c r="G182" s="9">
        <f aca="true" t="shared" si="22" ref="G182:K183">G183</f>
        <v>1400</v>
      </c>
      <c r="H182" s="9">
        <f t="shared" si="22"/>
        <v>1400</v>
      </c>
      <c r="I182" s="9">
        <f t="shared" si="22"/>
        <v>1400</v>
      </c>
      <c r="J182" s="48">
        <f t="shared" si="22"/>
        <v>1372.07912</v>
      </c>
      <c r="K182" s="29">
        <f t="shared" si="22"/>
        <v>1372.07912</v>
      </c>
      <c r="L182" s="18">
        <f t="shared" si="21"/>
        <v>-27.920879999999897</v>
      </c>
    </row>
    <row r="183" spans="1:12" ht="30.75" customHeight="1" hidden="1">
      <c r="A183" s="19"/>
      <c r="B183" s="92" t="s">
        <v>259</v>
      </c>
      <c r="C183" s="82" t="s">
        <v>122</v>
      </c>
      <c r="D183" s="82" t="s">
        <v>28</v>
      </c>
      <c r="E183" s="75" t="s">
        <v>260</v>
      </c>
      <c r="F183" s="82"/>
      <c r="G183" s="9">
        <f t="shared" si="22"/>
        <v>1400</v>
      </c>
      <c r="H183" s="9">
        <f t="shared" si="22"/>
        <v>1400</v>
      </c>
      <c r="I183" s="9">
        <f t="shared" si="22"/>
        <v>1400</v>
      </c>
      <c r="J183" s="48">
        <f t="shared" si="22"/>
        <v>1372.07912</v>
      </c>
      <c r="K183" s="29">
        <f t="shared" si="22"/>
        <v>1372.07912</v>
      </c>
      <c r="L183" s="18">
        <f t="shared" si="21"/>
        <v>-27.920879999999897</v>
      </c>
    </row>
    <row r="184" spans="1:12" ht="50.25" customHeight="1" hidden="1">
      <c r="A184" s="19"/>
      <c r="B184" s="81" t="s">
        <v>261</v>
      </c>
      <c r="C184" s="82" t="s">
        <v>122</v>
      </c>
      <c r="D184" s="82" t="s">
        <v>28</v>
      </c>
      <c r="E184" s="75" t="s">
        <v>262</v>
      </c>
      <c r="F184" s="82" t="s">
        <v>31</v>
      </c>
      <c r="G184" s="9">
        <v>1400</v>
      </c>
      <c r="H184" s="9">
        <f>1400-86.584+86.584</f>
        <v>1400</v>
      </c>
      <c r="I184" s="9">
        <f>1400-86.584+86.584</f>
        <v>1400</v>
      </c>
      <c r="J184" s="48">
        <f>1400-86.584+86.584-8.26-19.66088</f>
        <v>1372.07912</v>
      </c>
      <c r="K184" s="29">
        <f>1400-86.584+86.584-8.26-19.66088</f>
        <v>1372.07912</v>
      </c>
      <c r="L184" s="18">
        <f t="shared" si="21"/>
        <v>-27.920879999999897</v>
      </c>
    </row>
    <row r="185" spans="1:12" ht="31.5" customHeight="1">
      <c r="A185" s="19"/>
      <c r="B185" s="24" t="s">
        <v>263</v>
      </c>
      <c r="C185" s="36" t="s">
        <v>122</v>
      </c>
      <c r="D185" s="36" t="s">
        <v>122</v>
      </c>
      <c r="E185" s="37"/>
      <c r="F185" s="36"/>
      <c r="G185" s="9">
        <f aca="true" t="shared" si="23" ref="G185:J187">G186</f>
        <v>1867.1</v>
      </c>
      <c r="H185" s="9">
        <f t="shared" si="23"/>
        <v>1867.1</v>
      </c>
      <c r="I185" s="9">
        <f t="shared" si="23"/>
        <v>1867.1</v>
      </c>
      <c r="J185" s="48">
        <f t="shared" si="23"/>
        <v>1984.8399099999997</v>
      </c>
      <c r="K185" s="29">
        <v>1847</v>
      </c>
      <c r="L185" s="18">
        <f t="shared" si="21"/>
        <v>117.73990999999978</v>
      </c>
    </row>
    <row r="186" spans="1:12" ht="63.75" customHeight="1" hidden="1">
      <c r="A186" s="19"/>
      <c r="B186" s="24" t="s">
        <v>65</v>
      </c>
      <c r="C186" s="36" t="s">
        <v>122</v>
      </c>
      <c r="D186" s="36" t="s">
        <v>122</v>
      </c>
      <c r="E186" s="37" t="s">
        <v>19</v>
      </c>
      <c r="F186" s="36"/>
      <c r="G186" s="9">
        <f t="shared" si="23"/>
        <v>1867.1</v>
      </c>
      <c r="H186" s="9">
        <f t="shared" si="23"/>
        <v>1867.1</v>
      </c>
      <c r="I186" s="9">
        <f t="shared" si="23"/>
        <v>1867.1</v>
      </c>
      <c r="J186" s="48">
        <f t="shared" si="23"/>
        <v>1984.8399099999997</v>
      </c>
      <c r="K186" s="29">
        <f>K187</f>
        <v>1984.8399099999997</v>
      </c>
      <c r="L186" s="18">
        <f t="shared" si="21"/>
        <v>117.73990999999978</v>
      </c>
    </row>
    <row r="187" spans="1:12" ht="31.5" customHeight="1" hidden="1">
      <c r="A187" s="19"/>
      <c r="B187" s="39" t="s">
        <v>173</v>
      </c>
      <c r="C187" s="36" t="s">
        <v>122</v>
      </c>
      <c r="D187" s="36" t="s">
        <v>122</v>
      </c>
      <c r="E187" s="37" t="s">
        <v>67</v>
      </c>
      <c r="F187" s="36"/>
      <c r="G187" s="9">
        <f t="shared" si="23"/>
        <v>1867.1</v>
      </c>
      <c r="H187" s="9">
        <f t="shared" si="23"/>
        <v>1867.1</v>
      </c>
      <c r="I187" s="9">
        <f t="shared" si="23"/>
        <v>1867.1</v>
      </c>
      <c r="J187" s="48">
        <f t="shared" si="23"/>
        <v>1984.8399099999997</v>
      </c>
      <c r="K187" s="29">
        <f>K188</f>
        <v>1984.8399099999997</v>
      </c>
      <c r="L187" s="18">
        <f t="shared" si="21"/>
        <v>117.73990999999978</v>
      </c>
    </row>
    <row r="188" spans="1:12" ht="100.5" customHeight="1" hidden="1">
      <c r="A188" s="19"/>
      <c r="B188" s="39" t="s">
        <v>68</v>
      </c>
      <c r="C188" s="36" t="s">
        <v>122</v>
      </c>
      <c r="D188" s="36" t="s">
        <v>122</v>
      </c>
      <c r="E188" s="37" t="s">
        <v>69</v>
      </c>
      <c r="F188" s="36" t="s">
        <v>26</v>
      </c>
      <c r="G188" s="9">
        <f>1434+433.1</f>
        <v>1867.1</v>
      </c>
      <c r="H188" s="9">
        <f>1434+433.1</f>
        <v>1867.1</v>
      </c>
      <c r="I188" s="9">
        <f>1434+433.1</f>
        <v>1867.1</v>
      </c>
      <c r="J188" s="48">
        <f>1434+433.1+97.81298+34.59964-14.67271</f>
        <v>1984.8399099999997</v>
      </c>
      <c r="K188" s="29">
        <f>1434+433.1+97.81298+34.59964-14.67271</f>
        <v>1984.8399099999997</v>
      </c>
      <c r="L188" s="18">
        <f t="shared" si="21"/>
        <v>117.73990999999978</v>
      </c>
    </row>
    <row r="189" spans="1:12" ht="19.5" customHeight="1" hidden="1">
      <c r="A189" s="19"/>
      <c r="B189" s="65" t="s">
        <v>264</v>
      </c>
      <c r="C189" s="49" t="s">
        <v>224</v>
      </c>
      <c r="D189" s="36"/>
      <c r="E189" s="37"/>
      <c r="F189" s="36"/>
      <c r="G189" s="14">
        <f>G190</f>
        <v>80</v>
      </c>
      <c r="H189" s="14">
        <f>H190</f>
        <v>80</v>
      </c>
      <c r="I189" s="14">
        <f>I190</f>
        <v>80</v>
      </c>
      <c r="J189" s="15">
        <f>J190</f>
        <v>100.7077</v>
      </c>
      <c r="K189" s="16">
        <f>K190</f>
        <v>0</v>
      </c>
      <c r="L189" s="18">
        <f t="shared" si="21"/>
        <v>20.707700000000003</v>
      </c>
    </row>
    <row r="190" spans="1:12" ht="24" customHeight="1" hidden="1">
      <c r="A190" s="19"/>
      <c r="B190" s="39" t="s">
        <v>265</v>
      </c>
      <c r="C190" s="36" t="s">
        <v>224</v>
      </c>
      <c r="D190" s="36" t="s">
        <v>122</v>
      </c>
      <c r="E190" s="37"/>
      <c r="F190" s="36"/>
      <c r="G190" s="9">
        <f aca="true" t="shared" si="24" ref="G190:J192">G191</f>
        <v>80</v>
      </c>
      <c r="H190" s="9">
        <f t="shared" si="24"/>
        <v>80</v>
      </c>
      <c r="I190" s="9">
        <f t="shared" si="24"/>
        <v>80</v>
      </c>
      <c r="J190" s="48">
        <f t="shared" si="24"/>
        <v>100.7077</v>
      </c>
      <c r="K190" s="29">
        <v>0</v>
      </c>
      <c r="L190" s="18">
        <f t="shared" si="21"/>
        <v>20.707700000000003</v>
      </c>
    </row>
    <row r="191" spans="1:12" ht="57.75" customHeight="1" hidden="1">
      <c r="A191" s="19"/>
      <c r="B191" s="20" t="s">
        <v>123</v>
      </c>
      <c r="C191" s="49" t="s">
        <v>224</v>
      </c>
      <c r="D191" s="49" t="s">
        <v>122</v>
      </c>
      <c r="E191" s="50" t="s">
        <v>224</v>
      </c>
      <c r="F191" s="49"/>
      <c r="G191" s="14">
        <f t="shared" si="24"/>
        <v>80</v>
      </c>
      <c r="H191" s="14">
        <f t="shared" si="24"/>
        <v>80</v>
      </c>
      <c r="I191" s="14">
        <f t="shared" si="24"/>
        <v>80</v>
      </c>
      <c r="J191" s="15">
        <f t="shared" si="24"/>
        <v>100.7077</v>
      </c>
      <c r="K191" s="16">
        <f>K192</f>
        <v>100.7077</v>
      </c>
      <c r="L191" s="18">
        <f t="shared" si="21"/>
        <v>20.707700000000003</v>
      </c>
    </row>
    <row r="192" spans="1:12" ht="35.25" customHeight="1" hidden="1">
      <c r="A192" s="19"/>
      <c r="B192" s="39" t="s">
        <v>266</v>
      </c>
      <c r="C192" s="36" t="s">
        <v>224</v>
      </c>
      <c r="D192" s="36" t="s">
        <v>122</v>
      </c>
      <c r="E192" s="37" t="s">
        <v>267</v>
      </c>
      <c r="F192" s="36"/>
      <c r="G192" s="9">
        <f t="shared" si="24"/>
        <v>80</v>
      </c>
      <c r="H192" s="9">
        <f t="shared" si="24"/>
        <v>80</v>
      </c>
      <c r="I192" s="9">
        <f t="shared" si="24"/>
        <v>80</v>
      </c>
      <c r="J192" s="48">
        <f t="shared" si="24"/>
        <v>100.7077</v>
      </c>
      <c r="K192" s="29">
        <f>K193</f>
        <v>100.7077</v>
      </c>
      <c r="L192" s="18">
        <f t="shared" si="21"/>
        <v>20.707700000000003</v>
      </c>
    </row>
    <row r="193" spans="1:12" ht="36.75" customHeight="1" hidden="1">
      <c r="A193" s="19"/>
      <c r="B193" s="39" t="s">
        <v>268</v>
      </c>
      <c r="C193" s="36" t="s">
        <v>224</v>
      </c>
      <c r="D193" s="36" t="s">
        <v>122</v>
      </c>
      <c r="E193" s="37" t="s">
        <v>269</v>
      </c>
      <c r="F193" s="36" t="s">
        <v>31</v>
      </c>
      <c r="G193" s="9">
        <f>80</f>
        <v>80</v>
      </c>
      <c r="H193" s="9">
        <f>80</f>
        <v>80</v>
      </c>
      <c r="I193" s="9">
        <f>80</f>
        <v>80</v>
      </c>
      <c r="J193" s="48">
        <f>80+20.7077</f>
        <v>100.7077</v>
      </c>
      <c r="K193" s="29">
        <f>80+20.7077</f>
        <v>100.7077</v>
      </c>
      <c r="L193" s="18">
        <f t="shared" si="21"/>
        <v>20.707700000000003</v>
      </c>
    </row>
    <row r="194" spans="1:12" ht="21" customHeight="1">
      <c r="A194" s="19"/>
      <c r="B194" s="20" t="s">
        <v>270</v>
      </c>
      <c r="C194" s="49" t="s">
        <v>155</v>
      </c>
      <c r="D194" s="49"/>
      <c r="E194" s="37"/>
      <c r="F194" s="36"/>
      <c r="G194" s="14">
        <f>G195</f>
        <v>25473.82</v>
      </c>
      <c r="H194" s="14">
        <f>H195</f>
        <v>25517.620000000003</v>
      </c>
      <c r="I194" s="14">
        <f>I195</f>
        <v>25517.620000000003</v>
      </c>
      <c r="J194" s="15">
        <f>J195</f>
        <v>24259.350029999998</v>
      </c>
      <c r="K194" s="16">
        <f>K195</f>
        <v>25811.6</v>
      </c>
      <c r="L194" s="18">
        <f t="shared" si="21"/>
        <v>-1258.2699700000048</v>
      </c>
    </row>
    <row r="195" spans="1:12" ht="27" customHeight="1">
      <c r="A195" s="19"/>
      <c r="B195" s="103" t="s">
        <v>271</v>
      </c>
      <c r="C195" s="36" t="s">
        <v>155</v>
      </c>
      <c r="D195" s="36" t="s">
        <v>17</v>
      </c>
      <c r="E195" s="37"/>
      <c r="F195" s="36"/>
      <c r="G195" s="9">
        <f>G196+G199+G202+G207+G210</f>
        <v>25473.82</v>
      </c>
      <c r="H195" s="9">
        <f>H196+H199+H202+H207+H210</f>
        <v>25517.620000000003</v>
      </c>
      <c r="I195" s="9">
        <f>I196+I199+I202+I207+I210</f>
        <v>25517.620000000003</v>
      </c>
      <c r="J195" s="48">
        <f>J196+J199+J202+J207+J210</f>
        <v>24259.350029999998</v>
      </c>
      <c r="K195" s="29">
        <v>25811.6</v>
      </c>
      <c r="L195" s="18">
        <f t="shared" si="21"/>
        <v>-1258.2699700000048</v>
      </c>
    </row>
    <row r="196" spans="1:12" ht="63.75" customHeight="1" hidden="1">
      <c r="A196" s="19"/>
      <c r="B196" s="104" t="s">
        <v>272</v>
      </c>
      <c r="C196" s="105" t="s">
        <v>155</v>
      </c>
      <c r="D196" s="49" t="s">
        <v>17</v>
      </c>
      <c r="E196" s="50" t="s">
        <v>273</v>
      </c>
      <c r="F196" s="49"/>
      <c r="G196" s="14">
        <f aca="true" t="shared" si="25" ref="G196:K197">G197</f>
        <v>80</v>
      </c>
      <c r="H196" s="14">
        <f t="shared" si="25"/>
        <v>80</v>
      </c>
      <c r="I196" s="14">
        <f t="shared" si="25"/>
        <v>80</v>
      </c>
      <c r="J196" s="14">
        <f t="shared" si="25"/>
        <v>80</v>
      </c>
      <c r="K196" s="16">
        <f t="shared" si="25"/>
        <v>80</v>
      </c>
      <c r="L196" s="32">
        <f t="shared" si="21"/>
        <v>0</v>
      </c>
    </row>
    <row r="197" spans="1:12" ht="33.75" customHeight="1" hidden="1">
      <c r="A197" s="19"/>
      <c r="B197" s="106" t="s">
        <v>274</v>
      </c>
      <c r="C197" s="107" t="s">
        <v>155</v>
      </c>
      <c r="D197" s="36" t="s">
        <v>17</v>
      </c>
      <c r="E197" s="37" t="s">
        <v>275</v>
      </c>
      <c r="F197" s="36"/>
      <c r="G197" s="9">
        <f t="shared" si="25"/>
        <v>80</v>
      </c>
      <c r="H197" s="9">
        <f t="shared" si="25"/>
        <v>80</v>
      </c>
      <c r="I197" s="9">
        <f t="shared" si="25"/>
        <v>80</v>
      </c>
      <c r="J197" s="9">
        <f t="shared" si="25"/>
        <v>80</v>
      </c>
      <c r="K197" s="29">
        <f t="shared" si="25"/>
        <v>80</v>
      </c>
      <c r="L197" s="32">
        <f t="shared" si="21"/>
        <v>0</v>
      </c>
    </row>
    <row r="198" spans="1:12" ht="47.25" customHeight="1" hidden="1">
      <c r="A198" s="19"/>
      <c r="B198" s="106" t="s">
        <v>276</v>
      </c>
      <c r="C198" s="107" t="s">
        <v>155</v>
      </c>
      <c r="D198" s="36" t="s">
        <v>17</v>
      </c>
      <c r="E198" s="37" t="s">
        <v>277</v>
      </c>
      <c r="F198" s="36" t="s">
        <v>278</v>
      </c>
      <c r="G198" s="9">
        <f>80</f>
        <v>80</v>
      </c>
      <c r="H198" s="9">
        <f>80</f>
        <v>80</v>
      </c>
      <c r="I198" s="9">
        <f>80</f>
        <v>80</v>
      </c>
      <c r="J198" s="9">
        <f>80</f>
        <v>80</v>
      </c>
      <c r="K198" s="29">
        <f>80</f>
        <v>80</v>
      </c>
      <c r="L198" s="32">
        <f t="shared" si="21"/>
        <v>0</v>
      </c>
    </row>
    <row r="199" spans="1:12" ht="72" customHeight="1" hidden="1">
      <c r="A199" s="19"/>
      <c r="B199" s="20" t="s">
        <v>65</v>
      </c>
      <c r="C199" s="49" t="s">
        <v>155</v>
      </c>
      <c r="D199" s="49" t="s">
        <v>17</v>
      </c>
      <c r="E199" s="50" t="s">
        <v>19</v>
      </c>
      <c r="F199" s="49"/>
      <c r="G199" s="14">
        <f aca="true" t="shared" si="26" ref="G199:K200">G200</f>
        <v>2654</v>
      </c>
      <c r="H199" s="14">
        <f t="shared" si="26"/>
        <v>2654</v>
      </c>
      <c r="I199" s="14">
        <f t="shared" si="26"/>
        <v>2654</v>
      </c>
      <c r="J199" s="15">
        <f t="shared" si="26"/>
        <v>2115.2164199999997</v>
      </c>
      <c r="K199" s="16">
        <f t="shared" si="26"/>
        <v>2081.9</v>
      </c>
      <c r="L199" s="18">
        <f t="shared" si="21"/>
        <v>-538.7835800000003</v>
      </c>
    </row>
    <row r="200" spans="1:12" ht="33.75" customHeight="1" hidden="1">
      <c r="A200" s="19"/>
      <c r="B200" s="39" t="s">
        <v>173</v>
      </c>
      <c r="C200" s="36" t="s">
        <v>155</v>
      </c>
      <c r="D200" s="36" t="s">
        <v>17</v>
      </c>
      <c r="E200" s="37" t="s">
        <v>67</v>
      </c>
      <c r="F200" s="36"/>
      <c r="G200" s="9">
        <f t="shared" si="26"/>
        <v>2654</v>
      </c>
      <c r="H200" s="9">
        <f t="shared" si="26"/>
        <v>2654</v>
      </c>
      <c r="I200" s="9">
        <f t="shared" si="26"/>
        <v>2654</v>
      </c>
      <c r="J200" s="48">
        <f t="shared" si="26"/>
        <v>2115.2164199999997</v>
      </c>
      <c r="K200" s="29">
        <f t="shared" si="26"/>
        <v>2081.9</v>
      </c>
      <c r="L200" s="18">
        <f t="shared" si="21"/>
        <v>-538.7835800000003</v>
      </c>
    </row>
    <row r="201" spans="1:12" ht="99.75" customHeight="1" hidden="1">
      <c r="A201" s="19"/>
      <c r="B201" s="39" t="s">
        <v>68</v>
      </c>
      <c r="C201" s="36" t="s">
        <v>155</v>
      </c>
      <c r="D201" s="36" t="s">
        <v>17</v>
      </c>
      <c r="E201" s="37" t="s">
        <v>69</v>
      </c>
      <c r="F201" s="36" t="s">
        <v>26</v>
      </c>
      <c r="G201" s="9">
        <f>2037.9+615.5+0.6</f>
        <v>2654</v>
      </c>
      <c r="H201" s="9">
        <f>2037.9+615.5+0.6</f>
        <v>2654</v>
      </c>
      <c r="I201" s="9">
        <f>2037.9+615.5+0.6</f>
        <v>2654</v>
      </c>
      <c r="J201" s="60">
        <f>2037.9+615.5+0.6-538.78358</f>
        <v>2115.2164199999997</v>
      </c>
      <c r="K201" s="27">
        <v>2081.9</v>
      </c>
      <c r="L201" s="108">
        <f t="shared" si="21"/>
        <v>-538.7835800000003</v>
      </c>
    </row>
    <row r="202" spans="1:12" ht="71.25" customHeight="1" hidden="1">
      <c r="A202" s="19"/>
      <c r="B202" s="109" t="s">
        <v>279</v>
      </c>
      <c r="C202" s="105" t="s">
        <v>155</v>
      </c>
      <c r="D202" s="49" t="s">
        <v>17</v>
      </c>
      <c r="E202" s="50" t="s">
        <v>280</v>
      </c>
      <c r="F202" s="36"/>
      <c r="G202" s="14">
        <f>G203</f>
        <v>11347.1</v>
      </c>
      <c r="H202" s="14">
        <f>H203</f>
        <v>11347.1</v>
      </c>
      <c r="I202" s="14">
        <f>I203</f>
        <v>11347.1</v>
      </c>
      <c r="J202" s="14">
        <f>J203</f>
        <v>11347.1</v>
      </c>
      <c r="K202" s="16">
        <f>K203</f>
        <v>10615</v>
      </c>
      <c r="L202" s="32">
        <f t="shared" si="21"/>
        <v>0</v>
      </c>
    </row>
    <row r="203" spans="1:12" ht="36" customHeight="1" hidden="1">
      <c r="A203" s="19"/>
      <c r="B203" s="51" t="s">
        <v>281</v>
      </c>
      <c r="C203" s="107" t="s">
        <v>155</v>
      </c>
      <c r="D203" s="36" t="s">
        <v>17</v>
      </c>
      <c r="E203" s="37" t="s">
        <v>282</v>
      </c>
      <c r="F203" s="36"/>
      <c r="G203" s="9">
        <f>G204+G206+G205</f>
        <v>11347.1</v>
      </c>
      <c r="H203" s="9">
        <f>H204+H206+H205</f>
        <v>11347.1</v>
      </c>
      <c r="I203" s="9">
        <f>I204+I206+I205</f>
        <v>11347.1</v>
      </c>
      <c r="J203" s="9">
        <f>J204+J206+J205</f>
        <v>11347.1</v>
      </c>
      <c r="K203" s="29">
        <f>K204+K206+K205</f>
        <v>10615</v>
      </c>
      <c r="L203" s="32">
        <f t="shared" si="21"/>
        <v>0</v>
      </c>
    </row>
    <row r="204" spans="1:17" ht="72.75" customHeight="1" hidden="1">
      <c r="A204" s="19"/>
      <c r="B204" s="24" t="s">
        <v>283</v>
      </c>
      <c r="C204" s="107" t="s">
        <v>155</v>
      </c>
      <c r="D204" s="36" t="s">
        <v>17</v>
      </c>
      <c r="E204" s="75" t="s">
        <v>284</v>
      </c>
      <c r="F204" s="36" t="s">
        <v>278</v>
      </c>
      <c r="G204" s="9">
        <f>2920.9+685.1</f>
        <v>3606</v>
      </c>
      <c r="H204" s="9">
        <f>2920.9+685.1</f>
        <v>3606</v>
      </c>
      <c r="I204" s="9">
        <f>2920.9+685.1</f>
        <v>3606</v>
      </c>
      <c r="J204" s="9">
        <f>2920.9+685.1</f>
        <v>3606</v>
      </c>
      <c r="K204" s="29">
        <f>2920.9+685.1</f>
        <v>3606</v>
      </c>
      <c r="L204" s="32">
        <f t="shared" si="21"/>
        <v>0</v>
      </c>
      <c r="Q204" s="110"/>
    </row>
    <row r="205" spans="1:17" ht="82.5" customHeight="1" hidden="1">
      <c r="A205" s="19"/>
      <c r="B205" s="111" t="s">
        <v>285</v>
      </c>
      <c r="C205" s="52" t="s">
        <v>155</v>
      </c>
      <c r="D205" s="52" t="s">
        <v>17</v>
      </c>
      <c r="E205" s="112" t="s">
        <v>286</v>
      </c>
      <c r="F205" s="36" t="s">
        <v>278</v>
      </c>
      <c r="G205" s="9">
        <f>6270.3+1470.8</f>
        <v>7741.1</v>
      </c>
      <c r="H205" s="9">
        <f>6270.3+1470.8</f>
        <v>7741.1</v>
      </c>
      <c r="I205" s="9">
        <f>6270.3+1470.8</f>
        <v>7741.1</v>
      </c>
      <c r="J205" s="9">
        <f>6270.3+1470.8</f>
        <v>7741.1</v>
      </c>
      <c r="K205" s="29">
        <v>7009</v>
      </c>
      <c r="L205" s="32">
        <f t="shared" si="21"/>
        <v>0</v>
      </c>
      <c r="Q205" s="110"/>
    </row>
    <row r="206" spans="1:12" ht="73.5" customHeight="1" hidden="1">
      <c r="A206" s="19"/>
      <c r="B206" s="24" t="s">
        <v>287</v>
      </c>
      <c r="C206" s="107" t="s">
        <v>155</v>
      </c>
      <c r="D206" s="36" t="s">
        <v>17</v>
      </c>
      <c r="E206" s="75" t="s">
        <v>284</v>
      </c>
      <c r="F206" s="36" t="s">
        <v>278</v>
      </c>
      <c r="G206" s="14"/>
      <c r="H206" s="14"/>
      <c r="I206" s="14"/>
      <c r="J206" s="14"/>
      <c r="K206" s="14"/>
      <c r="L206" s="32">
        <f t="shared" si="21"/>
        <v>0</v>
      </c>
    </row>
    <row r="207" spans="1:12" ht="63" customHeight="1" hidden="1">
      <c r="A207" s="19"/>
      <c r="B207" s="20" t="s">
        <v>288</v>
      </c>
      <c r="C207" s="49" t="s">
        <v>155</v>
      </c>
      <c r="D207" s="49" t="s">
        <v>17</v>
      </c>
      <c r="E207" s="113" t="s">
        <v>289</v>
      </c>
      <c r="F207" s="49"/>
      <c r="G207" s="14">
        <f aca="true" t="shared" si="27" ref="G207:K208">G208</f>
        <v>50</v>
      </c>
      <c r="H207" s="14">
        <f t="shared" si="27"/>
        <v>50</v>
      </c>
      <c r="I207" s="14">
        <f t="shared" si="27"/>
        <v>50</v>
      </c>
      <c r="J207" s="54">
        <f t="shared" si="27"/>
        <v>42.907</v>
      </c>
      <c r="K207" s="16">
        <f t="shared" si="27"/>
        <v>42.907</v>
      </c>
      <c r="L207" s="32">
        <f t="shared" si="21"/>
        <v>-7.0930000000000035</v>
      </c>
    </row>
    <row r="208" spans="1:12" ht="33" customHeight="1" hidden="1">
      <c r="A208" s="19"/>
      <c r="B208" s="24" t="s">
        <v>290</v>
      </c>
      <c r="C208" s="36" t="s">
        <v>155</v>
      </c>
      <c r="D208" s="36" t="s">
        <v>17</v>
      </c>
      <c r="E208" s="114" t="s">
        <v>291</v>
      </c>
      <c r="F208" s="36"/>
      <c r="G208" s="9">
        <f t="shared" si="27"/>
        <v>50</v>
      </c>
      <c r="H208" s="9">
        <f t="shared" si="27"/>
        <v>50</v>
      </c>
      <c r="I208" s="9">
        <f t="shared" si="27"/>
        <v>50</v>
      </c>
      <c r="J208" s="56">
        <f t="shared" si="27"/>
        <v>42.907</v>
      </c>
      <c r="K208" s="29">
        <f t="shared" si="27"/>
        <v>42.907</v>
      </c>
      <c r="L208" s="32">
        <f t="shared" si="21"/>
        <v>-7.0930000000000035</v>
      </c>
    </row>
    <row r="209" spans="1:12" ht="80.25" customHeight="1" hidden="1">
      <c r="A209" s="19"/>
      <c r="B209" s="24" t="s">
        <v>292</v>
      </c>
      <c r="C209" s="36" t="s">
        <v>155</v>
      </c>
      <c r="D209" s="36" t="s">
        <v>17</v>
      </c>
      <c r="E209" s="114" t="s">
        <v>293</v>
      </c>
      <c r="F209" s="36" t="s">
        <v>278</v>
      </c>
      <c r="G209" s="9">
        <f>50</f>
        <v>50</v>
      </c>
      <c r="H209" s="9">
        <f>50</f>
        <v>50</v>
      </c>
      <c r="I209" s="9">
        <f>50</f>
        <v>50</v>
      </c>
      <c r="J209" s="56">
        <f>50-7.093</f>
        <v>42.907</v>
      </c>
      <c r="K209" s="29">
        <f>50-7.093</f>
        <v>42.907</v>
      </c>
      <c r="L209" s="32">
        <f t="shared" si="21"/>
        <v>-7.0930000000000035</v>
      </c>
    </row>
    <row r="210" spans="1:12" ht="15.75" customHeight="1" hidden="1">
      <c r="A210" s="19"/>
      <c r="B210" s="115" t="s">
        <v>20</v>
      </c>
      <c r="C210" s="116" t="s">
        <v>155</v>
      </c>
      <c r="D210" s="116" t="s">
        <v>17</v>
      </c>
      <c r="E210" s="117" t="s">
        <v>21</v>
      </c>
      <c r="F210" s="36"/>
      <c r="G210" s="14">
        <f>G211</f>
        <v>11342.720000000001</v>
      </c>
      <c r="H210" s="14">
        <f>H211</f>
        <v>11386.52</v>
      </c>
      <c r="I210" s="14">
        <f>I211</f>
        <v>11386.52</v>
      </c>
      <c r="J210" s="15">
        <f>J211</f>
        <v>10674.12661</v>
      </c>
      <c r="K210" s="16">
        <f>K211</f>
        <v>10053.9</v>
      </c>
      <c r="L210" s="18">
        <f t="shared" si="21"/>
        <v>-712.3933900000011</v>
      </c>
    </row>
    <row r="211" spans="1:12" ht="15.75" customHeight="1" hidden="1">
      <c r="A211" s="19"/>
      <c r="B211" s="118" t="s">
        <v>22</v>
      </c>
      <c r="C211" s="36" t="s">
        <v>155</v>
      </c>
      <c r="D211" s="36" t="s">
        <v>17</v>
      </c>
      <c r="E211" s="37" t="s">
        <v>23</v>
      </c>
      <c r="F211" s="36"/>
      <c r="G211" s="9">
        <f>G212+G213+G214+G215+G216</f>
        <v>11342.720000000001</v>
      </c>
      <c r="H211" s="9">
        <f>H212+H213+H214+H215+H216</f>
        <v>11386.52</v>
      </c>
      <c r="I211" s="9">
        <f>I212+I213+I214+I215+I216</f>
        <v>11386.52</v>
      </c>
      <c r="J211" s="48">
        <f>J212+J213+J214+J215+J216</f>
        <v>10674.12661</v>
      </c>
      <c r="K211" s="29">
        <f>K212+K213+K214+K215+K216</f>
        <v>10053.9</v>
      </c>
      <c r="L211" s="18">
        <f t="shared" si="21"/>
        <v>-712.3933900000011</v>
      </c>
    </row>
    <row r="212" spans="1:12" ht="77.25" customHeight="1" hidden="1">
      <c r="A212" s="19"/>
      <c r="B212" s="39" t="s">
        <v>294</v>
      </c>
      <c r="C212" s="36" t="s">
        <v>155</v>
      </c>
      <c r="D212" s="36" t="s">
        <v>17</v>
      </c>
      <c r="E212" s="37" t="s">
        <v>295</v>
      </c>
      <c r="F212" s="36" t="s">
        <v>278</v>
      </c>
      <c r="G212" s="9">
        <v>5939.22</v>
      </c>
      <c r="H212" s="9">
        <v>5939.22</v>
      </c>
      <c r="I212" s="9">
        <v>5939.22</v>
      </c>
      <c r="J212" s="48">
        <f>5939.22-949.99896+237.60557</f>
        <v>5226.82661</v>
      </c>
      <c r="K212" s="29">
        <v>5226.7</v>
      </c>
      <c r="L212" s="18">
        <f t="shared" si="21"/>
        <v>-712.3933900000002</v>
      </c>
    </row>
    <row r="213" spans="1:12" ht="78.75" customHeight="1" hidden="1">
      <c r="A213" s="19"/>
      <c r="B213" s="28" t="s">
        <v>296</v>
      </c>
      <c r="C213" s="36" t="s">
        <v>155</v>
      </c>
      <c r="D213" s="36" t="s">
        <v>17</v>
      </c>
      <c r="E213" s="37" t="s">
        <v>297</v>
      </c>
      <c r="F213" s="36" t="s">
        <v>278</v>
      </c>
      <c r="G213" s="9">
        <f>1528.3</f>
        <v>1528.3</v>
      </c>
      <c r="H213" s="9">
        <f>1528.3+33.6+10.2</f>
        <v>1572.1</v>
      </c>
      <c r="I213" s="9">
        <f>1528.3+33.6+10.2</f>
        <v>1572.1</v>
      </c>
      <c r="J213" s="9">
        <f>1528.3+33.6+10.2</f>
        <v>1572.1</v>
      </c>
      <c r="K213" s="29">
        <f>1528.3+33.6+10.2</f>
        <v>1572.1</v>
      </c>
      <c r="L213" s="32">
        <f t="shared" si="21"/>
        <v>0</v>
      </c>
    </row>
    <row r="214" spans="1:12" ht="63" customHeight="1" hidden="1">
      <c r="A214" s="19"/>
      <c r="B214" s="24" t="s">
        <v>298</v>
      </c>
      <c r="C214" s="36" t="s">
        <v>155</v>
      </c>
      <c r="D214" s="36" t="s">
        <v>17</v>
      </c>
      <c r="E214" s="37" t="s">
        <v>299</v>
      </c>
      <c r="F214" s="36" t="s">
        <v>278</v>
      </c>
      <c r="G214" s="9"/>
      <c r="H214" s="9"/>
      <c r="I214" s="9"/>
      <c r="J214" s="9"/>
      <c r="K214" s="9"/>
      <c r="L214" s="32">
        <f t="shared" si="21"/>
        <v>0</v>
      </c>
    </row>
    <row r="215" spans="1:12" ht="64.5" customHeight="1" hidden="1">
      <c r="A215" s="19"/>
      <c r="B215" s="24" t="s">
        <v>300</v>
      </c>
      <c r="C215" s="36" t="s">
        <v>155</v>
      </c>
      <c r="D215" s="36" t="s">
        <v>17</v>
      </c>
      <c r="E215" s="75" t="s">
        <v>301</v>
      </c>
      <c r="F215" s="36" t="s">
        <v>278</v>
      </c>
      <c r="G215" s="9">
        <f>3138.9+736.3</f>
        <v>3875.2</v>
      </c>
      <c r="H215" s="9">
        <f>3138.9+736.3</f>
        <v>3875.2</v>
      </c>
      <c r="I215" s="9">
        <f>3138.9+736.3</f>
        <v>3875.2</v>
      </c>
      <c r="J215" s="9">
        <f>3138.9+736.3</f>
        <v>3875.2</v>
      </c>
      <c r="K215" s="29">
        <v>3255.1</v>
      </c>
      <c r="L215" s="32">
        <f t="shared" si="21"/>
        <v>0</v>
      </c>
    </row>
    <row r="216" spans="1:12" ht="64.5" customHeight="1" hidden="1">
      <c r="A216" s="19"/>
      <c r="B216" s="24" t="s">
        <v>302</v>
      </c>
      <c r="C216" s="36" t="s">
        <v>155</v>
      </c>
      <c r="D216" s="36" t="s">
        <v>17</v>
      </c>
      <c r="E216" s="75" t="s">
        <v>301</v>
      </c>
      <c r="F216" s="36" t="s">
        <v>278</v>
      </c>
      <c r="G216" s="14"/>
      <c r="H216" s="14"/>
      <c r="I216" s="14"/>
      <c r="J216" s="14"/>
      <c r="K216" s="14"/>
      <c r="L216" s="32">
        <f t="shared" si="21"/>
        <v>0</v>
      </c>
    </row>
    <row r="217" spans="1:12" ht="15" customHeight="1">
      <c r="A217" s="19"/>
      <c r="B217" s="20" t="s">
        <v>303</v>
      </c>
      <c r="C217" s="49" t="s">
        <v>165</v>
      </c>
      <c r="D217" s="49"/>
      <c r="E217" s="37"/>
      <c r="F217" s="36"/>
      <c r="G217" s="14" t="e">
        <f>G218+G222+G230</f>
        <v>#N/A</v>
      </c>
      <c r="H217" s="14" t="e">
        <f>H218+H222+H230</f>
        <v>#N/A</v>
      </c>
      <c r="I217" s="14">
        <f>I218+I222+I230</f>
        <v>1096.53011</v>
      </c>
      <c r="J217" s="15">
        <f>J218+J222+J230</f>
        <v>971.7109499999999</v>
      </c>
      <c r="K217" s="16">
        <f>K218+K222+K230</f>
        <v>1278</v>
      </c>
      <c r="L217" s="18">
        <f t="shared" si="21"/>
        <v>-124.81916000000001</v>
      </c>
    </row>
    <row r="218" spans="1:12" ht="22.5" customHeight="1">
      <c r="A218" s="19"/>
      <c r="B218" s="24" t="s">
        <v>304</v>
      </c>
      <c r="C218" s="36" t="s">
        <v>165</v>
      </c>
      <c r="D218" s="36" t="s">
        <v>17</v>
      </c>
      <c r="E218" s="37"/>
      <c r="F218" s="36"/>
      <c r="G218" s="9">
        <f>G220</f>
        <v>521</v>
      </c>
      <c r="H218" s="9">
        <f>H220</f>
        <v>521</v>
      </c>
      <c r="I218" s="48">
        <f>I220</f>
        <v>558.6637499999999</v>
      </c>
      <c r="J218" s="48">
        <f>J220</f>
        <v>559.7624199999999</v>
      </c>
      <c r="K218" s="29">
        <v>547.9</v>
      </c>
      <c r="L218" s="18">
        <f t="shared" si="21"/>
        <v>1.09866999999997</v>
      </c>
    </row>
    <row r="219" spans="1:12" ht="48.75" customHeight="1" hidden="1">
      <c r="A219" s="19"/>
      <c r="B219" s="24" t="s">
        <v>59</v>
      </c>
      <c r="C219" s="36" t="s">
        <v>165</v>
      </c>
      <c r="D219" s="36" t="s">
        <v>17</v>
      </c>
      <c r="E219" s="37" t="s">
        <v>17</v>
      </c>
      <c r="F219" s="36"/>
      <c r="G219" s="9">
        <f aca="true" t="shared" si="28" ref="G219:K220">G220</f>
        <v>521</v>
      </c>
      <c r="H219" s="9">
        <f t="shared" si="28"/>
        <v>521</v>
      </c>
      <c r="I219" s="48">
        <f t="shared" si="28"/>
        <v>558.6637499999999</v>
      </c>
      <c r="J219" s="48">
        <f t="shared" si="28"/>
        <v>559.7624199999999</v>
      </c>
      <c r="K219" s="29">
        <f t="shared" si="28"/>
        <v>559.7624199999999</v>
      </c>
      <c r="L219" s="18">
        <f t="shared" si="21"/>
        <v>1.09866999999997</v>
      </c>
    </row>
    <row r="220" spans="1:12" ht="30.75" customHeight="1" hidden="1">
      <c r="A220" s="19"/>
      <c r="B220" s="39" t="s">
        <v>305</v>
      </c>
      <c r="C220" s="36" t="s">
        <v>165</v>
      </c>
      <c r="D220" s="36" t="s">
        <v>17</v>
      </c>
      <c r="E220" s="37" t="s">
        <v>306</v>
      </c>
      <c r="F220" s="36"/>
      <c r="G220" s="9">
        <f t="shared" si="28"/>
        <v>521</v>
      </c>
      <c r="H220" s="9">
        <f t="shared" si="28"/>
        <v>521</v>
      </c>
      <c r="I220" s="48">
        <f t="shared" si="28"/>
        <v>558.6637499999999</v>
      </c>
      <c r="J220" s="48">
        <f t="shared" si="28"/>
        <v>559.7624199999999</v>
      </c>
      <c r="K220" s="29">
        <f t="shared" si="28"/>
        <v>559.7624199999999</v>
      </c>
      <c r="L220" s="18">
        <f t="shared" si="21"/>
        <v>1.09866999999997</v>
      </c>
    </row>
    <row r="221" spans="1:13" ht="36" customHeight="1" hidden="1">
      <c r="A221" s="19"/>
      <c r="B221" s="39" t="s">
        <v>307</v>
      </c>
      <c r="C221" s="36" t="s">
        <v>165</v>
      </c>
      <c r="D221" s="36" t="s">
        <v>17</v>
      </c>
      <c r="E221" s="37" t="s">
        <v>308</v>
      </c>
      <c r="F221" s="36" t="s">
        <v>309</v>
      </c>
      <c r="G221" s="9">
        <v>521</v>
      </c>
      <c r="H221" s="9">
        <v>521</v>
      </c>
      <c r="I221" s="48">
        <f>521-0.01936+70.65459+0.01936-32.99084</f>
        <v>558.6637499999999</v>
      </c>
      <c r="J221" s="48">
        <f>521-0.01936+70.65459+0.01936-32.99084+1.09867</f>
        <v>559.7624199999999</v>
      </c>
      <c r="K221" s="29">
        <f>521-0.01936+70.65459+0.01936-32.99084+1.09867</f>
        <v>559.7624199999999</v>
      </c>
      <c r="L221" s="18">
        <f t="shared" si="21"/>
        <v>1.09866999999997</v>
      </c>
      <c r="M221" s="80"/>
    </row>
    <row r="222" spans="1:12" ht="22.5" customHeight="1">
      <c r="A222" s="19"/>
      <c r="B222" s="24" t="s">
        <v>310</v>
      </c>
      <c r="C222" s="36" t="s">
        <v>165</v>
      </c>
      <c r="D222" s="36" t="s">
        <v>28</v>
      </c>
      <c r="E222" s="37"/>
      <c r="F222" s="36"/>
      <c r="G222" s="9" t="e">
        <f>NA()</f>
        <v>#N/A</v>
      </c>
      <c r="H222" s="9" t="e">
        <f>NA()</f>
        <v>#N/A</v>
      </c>
      <c r="I222" s="9">
        <f>I224</f>
        <v>298.5</v>
      </c>
      <c r="J222" s="56">
        <f>J224</f>
        <v>172.6</v>
      </c>
      <c r="K222" s="29">
        <f>K224</f>
        <v>172</v>
      </c>
      <c r="L222" s="54">
        <f>L224</f>
        <v>-125.9</v>
      </c>
    </row>
    <row r="223" spans="1:12" ht="15.75" customHeight="1" hidden="1">
      <c r="A223" s="19"/>
      <c r="B223" s="24" t="s">
        <v>34</v>
      </c>
      <c r="C223" s="36" t="s">
        <v>165</v>
      </c>
      <c r="D223" s="36" t="s">
        <v>28</v>
      </c>
      <c r="E223" s="37" t="s">
        <v>21</v>
      </c>
      <c r="F223" s="36"/>
      <c r="G223" s="9">
        <f>G224</f>
        <v>249.35</v>
      </c>
      <c r="H223" s="9">
        <f>H224</f>
        <v>298.5</v>
      </c>
      <c r="I223" s="9">
        <f>I224</f>
        <v>298.5</v>
      </c>
      <c r="J223" s="56">
        <f>J224</f>
        <v>172.6</v>
      </c>
      <c r="K223" s="29">
        <f>K224</f>
        <v>172</v>
      </c>
      <c r="L223" s="32">
        <f aca="true" t="shared" si="29" ref="L223:L246">J223-I223</f>
        <v>-125.9</v>
      </c>
    </row>
    <row r="224" spans="1:12" ht="15" customHeight="1" hidden="1">
      <c r="A224" s="19"/>
      <c r="B224" s="24" t="s">
        <v>22</v>
      </c>
      <c r="C224" s="36" t="s">
        <v>165</v>
      </c>
      <c r="D224" s="36" t="s">
        <v>28</v>
      </c>
      <c r="E224" s="37" t="s">
        <v>36</v>
      </c>
      <c r="F224" s="36"/>
      <c r="G224" s="9">
        <f>G225+G226+G227+G228+G229</f>
        <v>249.35</v>
      </c>
      <c r="H224" s="9">
        <f>H225+H226+H227+H228+H229</f>
        <v>298.5</v>
      </c>
      <c r="I224" s="9">
        <f>I225+I226+I227+I228+I229</f>
        <v>298.5</v>
      </c>
      <c r="J224" s="56">
        <f>J225+J226+J227+J228+J229</f>
        <v>172.6</v>
      </c>
      <c r="K224" s="29">
        <f>K225+K226+K227+K228+K229</f>
        <v>172</v>
      </c>
      <c r="L224" s="32">
        <f t="shared" si="29"/>
        <v>-125.9</v>
      </c>
    </row>
    <row r="225" spans="1:12" ht="33.75" customHeight="1" hidden="1">
      <c r="A225" s="19"/>
      <c r="B225" s="28" t="s">
        <v>311</v>
      </c>
      <c r="C225" s="36" t="s">
        <v>165</v>
      </c>
      <c r="D225" s="36" t="s">
        <v>28</v>
      </c>
      <c r="E225" s="64" t="s">
        <v>312</v>
      </c>
      <c r="F225" s="36" t="s">
        <v>109</v>
      </c>
      <c r="G225" s="9">
        <v>122.85</v>
      </c>
      <c r="H225" s="9">
        <f>122.85+49.15</f>
        <v>172</v>
      </c>
      <c r="I225" s="9">
        <f>122.85+49.15</f>
        <v>172</v>
      </c>
      <c r="J225" s="56">
        <f>122.85+49.15</f>
        <v>172</v>
      </c>
      <c r="K225" s="29">
        <f>122.85+49.15</f>
        <v>172</v>
      </c>
      <c r="L225" s="32">
        <f t="shared" si="29"/>
        <v>0</v>
      </c>
    </row>
    <row r="226" spans="1:12" ht="69.75" customHeight="1" hidden="1">
      <c r="A226" s="19"/>
      <c r="B226" s="28" t="s">
        <v>313</v>
      </c>
      <c r="C226" s="36" t="s">
        <v>165</v>
      </c>
      <c r="D226" s="36" t="s">
        <v>28</v>
      </c>
      <c r="E226" s="37" t="s">
        <v>314</v>
      </c>
      <c r="F226" s="36" t="s">
        <v>309</v>
      </c>
      <c r="G226" s="9">
        <f>0.5+0.1</f>
        <v>0.6</v>
      </c>
      <c r="H226" s="9">
        <f>0.5+0.1</f>
        <v>0.6</v>
      </c>
      <c r="I226" s="9">
        <f>0.5+0.1</f>
        <v>0.6</v>
      </c>
      <c r="J226" s="9">
        <f>0.5+0.1</f>
        <v>0.6</v>
      </c>
      <c r="K226" s="9">
        <v>0</v>
      </c>
      <c r="L226" s="32">
        <f t="shared" si="29"/>
        <v>0</v>
      </c>
    </row>
    <row r="227" spans="1:12" ht="74.25" customHeight="1" hidden="1">
      <c r="A227" s="19"/>
      <c r="B227" s="93" t="s">
        <v>315</v>
      </c>
      <c r="C227" s="36" t="s">
        <v>165</v>
      </c>
      <c r="D227" s="36" t="s">
        <v>28</v>
      </c>
      <c r="E227" s="37" t="s">
        <v>316</v>
      </c>
      <c r="F227" s="36" t="s">
        <v>309</v>
      </c>
      <c r="G227" s="9"/>
      <c r="H227" s="9"/>
      <c r="I227" s="9"/>
      <c r="J227" s="9"/>
      <c r="K227" s="9"/>
      <c r="L227" s="32">
        <f t="shared" si="29"/>
        <v>0</v>
      </c>
    </row>
    <row r="228" spans="1:12" ht="63.75" customHeight="1" hidden="1">
      <c r="A228" s="19"/>
      <c r="B228" s="28" t="s">
        <v>317</v>
      </c>
      <c r="C228" s="36" t="s">
        <v>165</v>
      </c>
      <c r="D228" s="36" t="s">
        <v>28</v>
      </c>
      <c r="E228" s="37" t="s">
        <v>314</v>
      </c>
      <c r="F228" s="36" t="s">
        <v>309</v>
      </c>
      <c r="G228" s="9"/>
      <c r="H228" s="9"/>
      <c r="I228" s="9"/>
      <c r="J228" s="9"/>
      <c r="K228" s="9"/>
      <c r="L228" s="32">
        <f t="shared" si="29"/>
        <v>0</v>
      </c>
    </row>
    <row r="229" spans="1:12" ht="47.25" customHeight="1" hidden="1">
      <c r="A229" s="19"/>
      <c r="B229" s="24" t="s">
        <v>318</v>
      </c>
      <c r="C229" s="107" t="s">
        <v>165</v>
      </c>
      <c r="D229" s="36" t="s">
        <v>28</v>
      </c>
      <c r="E229" s="37" t="s">
        <v>319</v>
      </c>
      <c r="F229" s="36" t="s">
        <v>309</v>
      </c>
      <c r="G229" s="9">
        <v>125.9</v>
      </c>
      <c r="H229" s="9">
        <v>125.9</v>
      </c>
      <c r="I229" s="9">
        <v>125.9</v>
      </c>
      <c r="J229" s="9">
        <f>125.9-125.9</f>
        <v>0</v>
      </c>
      <c r="K229" s="9">
        <f>125.9-125.9</f>
        <v>0</v>
      </c>
      <c r="L229" s="32">
        <f t="shared" si="29"/>
        <v>-125.9</v>
      </c>
    </row>
    <row r="230" spans="1:12" ht="15.75" customHeight="1">
      <c r="A230" s="19"/>
      <c r="B230" s="119" t="s">
        <v>320</v>
      </c>
      <c r="C230" s="107" t="s">
        <v>165</v>
      </c>
      <c r="D230" s="36" t="s">
        <v>33</v>
      </c>
      <c r="E230" s="37"/>
      <c r="F230" s="36"/>
      <c r="G230" s="9">
        <f aca="true" t="shared" si="30" ref="G230:J232">G231</f>
        <v>200</v>
      </c>
      <c r="H230" s="9">
        <f t="shared" si="30"/>
        <v>239.347</v>
      </c>
      <c r="I230" s="48">
        <f t="shared" si="30"/>
        <v>239.36636000000001</v>
      </c>
      <c r="J230" s="48">
        <f t="shared" si="30"/>
        <v>239.34853</v>
      </c>
      <c r="K230" s="29">
        <v>558.1</v>
      </c>
      <c r="L230" s="18">
        <f t="shared" si="29"/>
        <v>-0.017830000000003565</v>
      </c>
    </row>
    <row r="231" spans="1:12" ht="43.5" customHeight="1" hidden="1">
      <c r="A231" s="19"/>
      <c r="B231" s="120" t="s">
        <v>321</v>
      </c>
      <c r="C231" s="105" t="s">
        <v>165</v>
      </c>
      <c r="D231" s="49" t="s">
        <v>33</v>
      </c>
      <c r="E231" s="50" t="s">
        <v>322</v>
      </c>
      <c r="F231" s="36"/>
      <c r="G231" s="14">
        <f t="shared" si="30"/>
        <v>200</v>
      </c>
      <c r="H231" s="14">
        <f t="shared" si="30"/>
        <v>239.347</v>
      </c>
      <c r="I231" s="15">
        <f t="shared" si="30"/>
        <v>239.36636000000001</v>
      </c>
      <c r="J231" s="15">
        <f t="shared" si="30"/>
        <v>239.34853</v>
      </c>
      <c r="K231" s="16">
        <f>K232</f>
        <v>239.34853</v>
      </c>
      <c r="L231" s="18">
        <f t="shared" si="29"/>
        <v>-0.017830000000003565</v>
      </c>
    </row>
    <row r="232" spans="1:12" ht="31.5" customHeight="1" hidden="1">
      <c r="A232" s="19"/>
      <c r="B232" s="28" t="s">
        <v>323</v>
      </c>
      <c r="C232" s="107" t="s">
        <v>165</v>
      </c>
      <c r="D232" s="36" t="s">
        <v>33</v>
      </c>
      <c r="E232" s="37" t="s">
        <v>324</v>
      </c>
      <c r="F232" s="36"/>
      <c r="G232" s="9">
        <f t="shared" si="30"/>
        <v>200</v>
      </c>
      <c r="H232" s="9">
        <f t="shared" si="30"/>
        <v>239.347</v>
      </c>
      <c r="I232" s="48">
        <f t="shared" si="30"/>
        <v>239.36636000000001</v>
      </c>
      <c r="J232" s="48">
        <f t="shared" si="30"/>
        <v>239.34853</v>
      </c>
      <c r="K232" s="29">
        <f>K233</f>
        <v>239.34853</v>
      </c>
      <c r="L232" s="18">
        <f t="shared" si="29"/>
        <v>-0.017830000000003565</v>
      </c>
    </row>
    <row r="233" spans="1:12" ht="36" customHeight="1" hidden="1">
      <c r="A233" s="19"/>
      <c r="B233" s="24" t="s">
        <v>325</v>
      </c>
      <c r="C233" s="107" t="s">
        <v>165</v>
      </c>
      <c r="D233" s="36" t="s">
        <v>33</v>
      </c>
      <c r="E233" s="37" t="s">
        <v>326</v>
      </c>
      <c r="F233" s="36" t="s">
        <v>109</v>
      </c>
      <c r="G233" s="9">
        <v>200</v>
      </c>
      <c r="H233" s="9">
        <f>200+39.347</f>
        <v>239.347</v>
      </c>
      <c r="I233" s="48">
        <f>200+39.347+0.01936</f>
        <v>239.36636000000001</v>
      </c>
      <c r="J233" s="48">
        <f>200+39.347+0.01936-0.01783</f>
        <v>239.34853</v>
      </c>
      <c r="K233" s="29">
        <f>200+39.347+0.01936-0.01783</f>
        <v>239.34853</v>
      </c>
      <c r="L233" s="18">
        <f t="shared" si="29"/>
        <v>-0.017830000000003565</v>
      </c>
    </row>
    <row r="234" spans="1:12" ht="24" customHeight="1">
      <c r="A234" s="19"/>
      <c r="B234" s="121" t="s">
        <v>327</v>
      </c>
      <c r="C234" s="49" t="s">
        <v>53</v>
      </c>
      <c r="D234" s="49"/>
      <c r="E234" s="37"/>
      <c r="F234" s="36"/>
      <c r="G234" s="14">
        <f>G236+G242</f>
        <v>10359.300000000001</v>
      </c>
      <c r="H234" s="14">
        <f>H236+H242</f>
        <v>11156.400000000001</v>
      </c>
      <c r="I234" s="14">
        <f>I236+I242</f>
        <v>11176.400000000001</v>
      </c>
      <c r="J234" s="15">
        <f>J236+J242</f>
        <v>10533.46081</v>
      </c>
      <c r="K234" s="16">
        <f>K235+K242</f>
        <v>47340.5</v>
      </c>
      <c r="L234" s="18">
        <f t="shared" si="29"/>
        <v>-642.939190000001</v>
      </c>
    </row>
    <row r="235" spans="1:12" ht="16.5" customHeight="1">
      <c r="A235" s="19"/>
      <c r="B235" s="24" t="s">
        <v>328</v>
      </c>
      <c r="C235" s="36" t="s">
        <v>53</v>
      </c>
      <c r="D235" s="36" t="s">
        <v>17</v>
      </c>
      <c r="E235" s="37"/>
      <c r="F235" s="36"/>
      <c r="G235" s="9">
        <f aca="true" t="shared" si="31" ref="G235:J237">G236</f>
        <v>10062.1</v>
      </c>
      <c r="H235" s="9">
        <f t="shared" si="31"/>
        <v>10859.2</v>
      </c>
      <c r="I235" s="9">
        <f t="shared" si="31"/>
        <v>10879.2</v>
      </c>
      <c r="J235" s="48">
        <f t="shared" si="31"/>
        <v>10236.26081</v>
      </c>
      <c r="K235" s="29">
        <v>12504.9</v>
      </c>
      <c r="L235" s="18">
        <f t="shared" si="29"/>
        <v>-642.939190000001</v>
      </c>
    </row>
    <row r="236" spans="1:12" ht="15" customHeight="1" hidden="1">
      <c r="A236" s="19"/>
      <c r="B236" s="24" t="s">
        <v>34</v>
      </c>
      <c r="C236" s="36" t="s">
        <v>53</v>
      </c>
      <c r="D236" s="36" t="s">
        <v>17</v>
      </c>
      <c r="E236" s="37" t="s">
        <v>21</v>
      </c>
      <c r="F236" s="36"/>
      <c r="G236" s="9">
        <f t="shared" si="31"/>
        <v>10062.1</v>
      </c>
      <c r="H236" s="9">
        <f t="shared" si="31"/>
        <v>10859.2</v>
      </c>
      <c r="I236" s="9">
        <f t="shared" si="31"/>
        <v>10879.2</v>
      </c>
      <c r="J236" s="48">
        <f t="shared" si="31"/>
        <v>10236.26081</v>
      </c>
      <c r="K236" s="29">
        <f>K237</f>
        <v>10236.26081</v>
      </c>
      <c r="L236" s="18">
        <f t="shared" si="29"/>
        <v>-642.939190000001</v>
      </c>
    </row>
    <row r="237" spans="1:12" ht="15" customHeight="1" hidden="1">
      <c r="A237" s="19"/>
      <c r="B237" s="24" t="s">
        <v>22</v>
      </c>
      <c r="C237" s="36" t="s">
        <v>53</v>
      </c>
      <c r="D237" s="36" t="s">
        <v>17</v>
      </c>
      <c r="E237" s="37" t="s">
        <v>23</v>
      </c>
      <c r="F237" s="36"/>
      <c r="G237" s="9">
        <f t="shared" si="31"/>
        <v>10062.1</v>
      </c>
      <c r="H237" s="9">
        <f t="shared" si="31"/>
        <v>10859.2</v>
      </c>
      <c r="I237" s="9">
        <f t="shared" si="31"/>
        <v>10879.2</v>
      </c>
      <c r="J237" s="48">
        <f t="shared" si="31"/>
        <v>10236.26081</v>
      </c>
      <c r="K237" s="29">
        <f>K238</f>
        <v>10236.26081</v>
      </c>
      <c r="L237" s="18">
        <f t="shared" si="29"/>
        <v>-642.939190000001</v>
      </c>
    </row>
    <row r="238" spans="1:12" ht="62.25" customHeight="1" hidden="1">
      <c r="A238" s="19"/>
      <c r="B238" s="39" t="s">
        <v>329</v>
      </c>
      <c r="C238" s="36" t="s">
        <v>53</v>
      </c>
      <c r="D238" s="36" t="s">
        <v>17</v>
      </c>
      <c r="E238" s="37" t="s">
        <v>330</v>
      </c>
      <c r="F238" s="36" t="s">
        <v>278</v>
      </c>
      <c r="G238" s="9">
        <v>10062.1</v>
      </c>
      <c r="H238" s="9">
        <f>10062.1+670.1+127</f>
        <v>10859.2</v>
      </c>
      <c r="I238" s="9">
        <f>10062.1+670.1+127+20</f>
        <v>10879.2</v>
      </c>
      <c r="J238" s="48">
        <f>10062.1+670.1+127+20-642.93919</f>
        <v>10236.26081</v>
      </c>
      <c r="K238" s="29">
        <f>10062.1+670.1+127+20-642.93919</f>
        <v>10236.26081</v>
      </c>
      <c r="L238" s="18">
        <f t="shared" si="29"/>
        <v>-642.939190000001</v>
      </c>
    </row>
    <row r="239" spans="1:12" ht="73.5" customHeight="1" hidden="1">
      <c r="A239" s="19"/>
      <c r="B239" s="24" t="s">
        <v>288</v>
      </c>
      <c r="C239" s="36">
        <v>11</v>
      </c>
      <c r="D239" s="122" t="s">
        <v>19</v>
      </c>
      <c r="E239" s="114" t="s">
        <v>289</v>
      </c>
      <c r="F239" s="100"/>
      <c r="G239" s="9">
        <f aca="true" t="shared" si="32" ref="G239:K240">G240</f>
        <v>0</v>
      </c>
      <c r="H239" s="9">
        <f t="shared" si="32"/>
        <v>0</v>
      </c>
      <c r="I239" s="9">
        <f t="shared" si="32"/>
        <v>0</v>
      </c>
      <c r="J239" s="9">
        <f t="shared" si="32"/>
        <v>0</v>
      </c>
      <c r="K239" s="9">
        <f t="shared" si="32"/>
        <v>0</v>
      </c>
      <c r="L239" s="32">
        <f t="shared" si="29"/>
        <v>0</v>
      </c>
    </row>
    <row r="240" spans="1:12" ht="36.75" customHeight="1" hidden="1">
      <c r="A240" s="19"/>
      <c r="B240" s="24" t="s">
        <v>290</v>
      </c>
      <c r="C240" s="36">
        <v>11</v>
      </c>
      <c r="D240" s="122" t="s">
        <v>19</v>
      </c>
      <c r="E240" s="114" t="s">
        <v>291</v>
      </c>
      <c r="F240" s="100"/>
      <c r="G240" s="9">
        <f t="shared" si="32"/>
        <v>0</v>
      </c>
      <c r="H240" s="9">
        <f t="shared" si="32"/>
        <v>0</v>
      </c>
      <c r="I240" s="9">
        <f t="shared" si="32"/>
        <v>0</v>
      </c>
      <c r="J240" s="9">
        <f t="shared" si="32"/>
        <v>0</v>
      </c>
      <c r="K240" s="9">
        <f t="shared" si="32"/>
        <v>0</v>
      </c>
      <c r="L240" s="32">
        <f t="shared" si="29"/>
        <v>0</v>
      </c>
    </row>
    <row r="241" spans="1:12" ht="109.5" customHeight="1" hidden="1">
      <c r="A241" s="19"/>
      <c r="B241" s="24" t="s">
        <v>292</v>
      </c>
      <c r="C241" s="36">
        <v>11</v>
      </c>
      <c r="D241" s="122" t="s">
        <v>19</v>
      </c>
      <c r="E241" s="114" t="s">
        <v>293</v>
      </c>
      <c r="F241" s="100" t="s">
        <v>278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32">
        <f t="shared" si="29"/>
        <v>0</v>
      </c>
    </row>
    <row r="242" spans="1:12" ht="19.5" customHeight="1">
      <c r="A242" s="19"/>
      <c r="B242" s="123" t="s">
        <v>331</v>
      </c>
      <c r="C242" s="42" t="s">
        <v>53</v>
      </c>
      <c r="D242" s="42" t="s">
        <v>19</v>
      </c>
      <c r="E242" s="43"/>
      <c r="F242" s="36"/>
      <c r="G242" s="9">
        <f aca="true" t="shared" si="33" ref="G242:J243">G243</f>
        <v>297.2</v>
      </c>
      <c r="H242" s="9">
        <f t="shared" si="33"/>
        <v>297.2</v>
      </c>
      <c r="I242" s="9">
        <f t="shared" si="33"/>
        <v>297.2</v>
      </c>
      <c r="J242" s="9">
        <f t="shared" si="33"/>
        <v>297.2</v>
      </c>
      <c r="K242" s="29">
        <v>34835.6</v>
      </c>
      <c r="L242" s="32">
        <f t="shared" si="29"/>
        <v>0</v>
      </c>
    </row>
    <row r="243" spans="1:12" ht="63" customHeight="1" hidden="1">
      <c r="A243" s="19"/>
      <c r="B243" s="28" t="s">
        <v>332</v>
      </c>
      <c r="C243" s="36" t="s">
        <v>53</v>
      </c>
      <c r="D243" s="36" t="s">
        <v>19</v>
      </c>
      <c r="E243" s="37" t="s">
        <v>333</v>
      </c>
      <c r="F243" s="36"/>
      <c r="G243" s="9">
        <f t="shared" si="33"/>
        <v>297.2</v>
      </c>
      <c r="H243" s="9">
        <f t="shared" si="33"/>
        <v>297.2</v>
      </c>
      <c r="I243" s="9">
        <f t="shared" si="33"/>
        <v>297.2</v>
      </c>
      <c r="J243" s="9">
        <f t="shared" si="33"/>
        <v>297.2</v>
      </c>
      <c r="K243" s="9">
        <f>K244</f>
        <v>297.2</v>
      </c>
      <c r="L243" s="32">
        <f t="shared" si="29"/>
        <v>0</v>
      </c>
    </row>
    <row r="244" spans="1:12" ht="32.25" customHeight="1" hidden="1">
      <c r="A244" s="19"/>
      <c r="B244" s="24" t="s">
        <v>334</v>
      </c>
      <c r="C244" s="36" t="s">
        <v>53</v>
      </c>
      <c r="D244" s="36" t="s">
        <v>19</v>
      </c>
      <c r="E244" s="37" t="s">
        <v>335</v>
      </c>
      <c r="F244" s="36"/>
      <c r="G244" s="9">
        <f>G245+G246</f>
        <v>297.2</v>
      </c>
      <c r="H244" s="9">
        <f>H245+H246</f>
        <v>297.2</v>
      </c>
      <c r="I244" s="9">
        <f>I245+I246</f>
        <v>297.2</v>
      </c>
      <c r="J244" s="9">
        <f>J245+J246</f>
        <v>297.2</v>
      </c>
      <c r="K244" s="9">
        <f>K245+K246</f>
        <v>297.2</v>
      </c>
      <c r="L244" s="32">
        <f t="shared" si="29"/>
        <v>0</v>
      </c>
    </row>
    <row r="245" spans="1:12" ht="47.25" customHeight="1" hidden="1">
      <c r="A245" s="19"/>
      <c r="B245" s="124" t="s">
        <v>336</v>
      </c>
      <c r="C245" s="91" t="s">
        <v>53</v>
      </c>
      <c r="D245" s="91" t="s">
        <v>19</v>
      </c>
      <c r="E245" s="41" t="s">
        <v>337</v>
      </c>
      <c r="F245" s="91" t="s">
        <v>278</v>
      </c>
      <c r="G245" s="58">
        <v>297.2</v>
      </c>
      <c r="H245" s="58">
        <v>297.2</v>
      </c>
      <c r="I245" s="58">
        <v>297.2</v>
      </c>
      <c r="J245" s="58">
        <v>297.2</v>
      </c>
      <c r="K245" s="58">
        <v>297.2</v>
      </c>
      <c r="L245" s="32">
        <f t="shared" si="29"/>
        <v>0</v>
      </c>
    </row>
    <row r="246" spans="1:12" ht="66.75" customHeight="1" hidden="1">
      <c r="A246" s="19"/>
      <c r="B246" s="124" t="s">
        <v>338</v>
      </c>
      <c r="C246" s="91" t="s">
        <v>53</v>
      </c>
      <c r="D246" s="91" t="s">
        <v>19</v>
      </c>
      <c r="E246" s="64" t="s">
        <v>339</v>
      </c>
      <c r="F246" s="91" t="s">
        <v>84</v>
      </c>
      <c r="G246" s="15">
        <v>0</v>
      </c>
      <c r="H246" s="125">
        <v>0</v>
      </c>
      <c r="I246" s="126">
        <f>20-20</f>
        <v>0</v>
      </c>
      <c r="J246" s="126">
        <f>20-20</f>
        <v>0</v>
      </c>
      <c r="K246" s="126">
        <f>20-20</f>
        <v>0</v>
      </c>
      <c r="L246" s="32">
        <f t="shared" si="29"/>
        <v>0</v>
      </c>
    </row>
    <row r="247" spans="1:12" ht="47.25" customHeight="1">
      <c r="A247" s="21" t="s">
        <v>340</v>
      </c>
      <c r="B247" s="127" t="s">
        <v>341</v>
      </c>
      <c r="C247" s="91"/>
      <c r="D247" s="91"/>
      <c r="E247" s="64"/>
      <c r="F247" s="91"/>
      <c r="G247" s="15"/>
      <c r="H247" s="125"/>
      <c r="I247" s="126"/>
      <c r="J247" s="126"/>
      <c r="K247" s="128">
        <f>K248</f>
        <v>1132</v>
      </c>
      <c r="L247" s="32"/>
    </row>
    <row r="248" spans="1:12" ht="19.5" customHeight="1">
      <c r="A248" s="21"/>
      <c r="B248" s="129" t="s">
        <v>16</v>
      </c>
      <c r="C248" s="91" t="s">
        <v>17</v>
      </c>
      <c r="D248" s="91"/>
      <c r="E248" s="64"/>
      <c r="F248" s="91"/>
      <c r="G248" s="15"/>
      <c r="H248" s="125"/>
      <c r="I248" s="126"/>
      <c r="J248" s="126"/>
      <c r="K248" s="126">
        <f>K249</f>
        <v>1132</v>
      </c>
      <c r="L248" s="32"/>
    </row>
    <row r="249" spans="1:12" ht="30" customHeight="1">
      <c r="A249" s="19"/>
      <c r="B249" s="130" t="s">
        <v>48</v>
      </c>
      <c r="C249" s="91" t="s">
        <v>17</v>
      </c>
      <c r="D249" s="91" t="s">
        <v>49</v>
      </c>
      <c r="E249" s="64"/>
      <c r="F249" s="91"/>
      <c r="G249" s="15"/>
      <c r="H249" s="125"/>
      <c r="I249" s="126"/>
      <c r="J249" s="126"/>
      <c r="K249" s="126">
        <v>1132</v>
      </c>
      <c r="L249" s="32"/>
    </row>
    <row r="250" spans="1:12" ht="27" customHeight="1">
      <c r="A250" s="19"/>
      <c r="B250" s="131" t="s">
        <v>342</v>
      </c>
      <c r="C250" s="91"/>
      <c r="D250" s="91"/>
      <c r="E250" s="64"/>
      <c r="F250" s="91"/>
      <c r="G250" s="15"/>
      <c r="H250" s="125"/>
      <c r="I250" s="126"/>
      <c r="J250" s="126"/>
      <c r="K250" s="132">
        <f>K13+K64+K70+K82+K129+K194+K217+K234+K247</f>
        <v>322443.6</v>
      </c>
      <c r="L250" s="32"/>
    </row>
    <row r="251" ht="15.75" customHeight="1">
      <c r="G251" s="2"/>
    </row>
    <row r="252" ht="15.75" customHeight="1">
      <c r="G252" s="2"/>
    </row>
    <row r="253" ht="15.75" customHeight="1">
      <c r="G253" s="2"/>
    </row>
    <row r="254" ht="15.75" customHeight="1">
      <c r="G254" s="2"/>
    </row>
    <row r="255" ht="15.75" customHeight="1">
      <c r="G255" s="2"/>
    </row>
    <row r="256" ht="15.75" customHeight="1">
      <c r="G256" s="2"/>
    </row>
    <row r="257" ht="15.75" customHeight="1">
      <c r="G257" s="2"/>
    </row>
    <row r="258" ht="15.75" customHeight="1">
      <c r="G258" s="2"/>
    </row>
    <row r="259" ht="15.75" customHeight="1">
      <c r="G259" s="2"/>
    </row>
    <row r="260" ht="15.75" customHeight="1">
      <c r="G260" s="2"/>
    </row>
    <row r="261" ht="15.75" customHeight="1">
      <c r="G261" s="2"/>
    </row>
    <row r="262" ht="15.75" customHeight="1">
      <c r="G262" s="2"/>
    </row>
    <row r="263" ht="15.75" customHeight="1">
      <c r="G263" s="2"/>
    </row>
    <row r="264" ht="15.75" customHeight="1">
      <c r="G264" s="2"/>
    </row>
    <row r="265" ht="15.75" customHeight="1">
      <c r="G265" s="2"/>
    </row>
    <row r="266" ht="15.75" customHeight="1">
      <c r="G266" s="2"/>
    </row>
    <row r="267" ht="15.75" customHeight="1">
      <c r="G267" s="2"/>
    </row>
    <row r="268" ht="15.75" customHeight="1">
      <c r="G268" s="2"/>
    </row>
    <row r="269" ht="15.75" customHeight="1">
      <c r="G269" s="2"/>
    </row>
    <row r="270" ht="15.75" customHeight="1">
      <c r="G270" s="2"/>
    </row>
    <row r="271" ht="15.75" customHeight="1">
      <c r="G271" s="2"/>
    </row>
    <row r="272" ht="15.75" customHeight="1">
      <c r="G272" s="2"/>
    </row>
    <row r="273" ht="15.75" customHeight="1">
      <c r="G273" s="2"/>
    </row>
    <row r="274" ht="15.75" customHeight="1">
      <c r="G274" s="2"/>
    </row>
    <row r="275" ht="15.75" customHeight="1">
      <c r="G275" s="2"/>
    </row>
    <row r="276" ht="15.75" customHeight="1">
      <c r="G276" s="2"/>
    </row>
    <row r="277" ht="15.75" customHeight="1">
      <c r="G277" s="2"/>
    </row>
    <row r="278" ht="15.75" customHeight="1">
      <c r="G278" s="2"/>
    </row>
    <row r="279" ht="15.75" customHeight="1">
      <c r="G279" s="2"/>
    </row>
    <row r="280" ht="15.75" customHeight="1">
      <c r="G280" s="2"/>
    </row>
    <row r="281" ht="15.75" customHeight="1">
      <c r="G281" s="2"/>
    </row>
    <row r="282" ht="15.75" customHeight="1">
      <c r="G282" s="2"/>
    </row>
    <row r="283" ht="15.75" customHeight="1">
      <c r="G283" s="2"/>
    </row>
    <row r="284" ht="15.75" customHeight="1">
      <c r="G284" s="2"/>
    </row>
    <row r="285" ht="15.75" customHeight="1">
      <c r="G285" s="2"/>
    </row>
    <row r="286" ht="15.75" customHeight="1">
      <c r="G286" s="2"/>
    </row>
    <row r="287" ht="15.75" customHeight="1">
      <c r="G287" s="2"/>
    </row>
    <row r="288" ht="15.75" customHeight="1">
      <c r="G288" s="2"/>
    </row>
    <row r="289" ht="15.75" customHeight="1">
      <c r="G289" s="2"/>
    </row>
    <row r="290" ht="15.75" customHeight="1">
      <c r="G290" s="2"/>
    </row>
    <row r="291" ht="15.75" customHeight="1">
      <c r="G291" s="2"/>
    </row>
    <row r="292" ht="15.75" customHeight="1">
      <c r="G292" s="2"/>
    </row>
    <row r="293" ht="15.75" customHeight="1">
      <c r="G293" s="2"/>
    </row>
    <row r="294" ht="15.75" customHeight="1">
      <c r="G294" s="2"/>
    </row>
    <row r="295" ht="15.75" customHeight="1">
      <c r="G295" s="2"/>
    </row>
    <row r="296" ht="15.75" customHeight="1">
      <c r="G296" s="2"/>
    </row>
    <row r="297" ht="15.75" customHeight="1">
      <c r="G297" s="2"/>
    </row>
    <row r="298" ht="15.75" customHeight="1">
      <c r="G298" s="2"/>
    </row>
    <row r="299" ht="15.75" customHeight="1">
      <c r="G299" s="2"/>
    </row>
    <row r="300" ht="15.75" customHeight="1">
      <c r="G300" s="2"/>
    </row>
    <row r="301" ht="15.75" customHeight="1">
      <c r="G301" s="2"/>
    </row>
    <row r="302" ht="15.75" customHeight="1">
      <c r="G302" s="2"/>
    </row>
    <row r="303" ht="15.75" customHeight="1">
      <c r="G303" s="2"/>
    </row>
    <row r="304" ht="15.75" customHeight="1">
      <c r="G304" s="2"/>
    </row>
    <row r="305" ht="15.75" customHeight="1">
      <c r="G305" s="2"/>
    </row>
    <row r="306" ht="15.75" customHeight="1">
      <c r="G306" s="2"/>
    </row>
    <row r="307" ht="15.75" customHeight="1">
      <c r="G307" s="2"/>
    </row>
    <row r="308" ht="15.75" customHeight="1">
      <c r="G308" s="2"/>
    </row>
    <row r="309" ht="15.75" customHeight="1">
      <c r="G309" s="2"/>
    </row>
    <row r="310" ht="15.75" customHeight="1">
      <c r="G310" s="2"/>
    </row>
    <row r="311" ht="15.75" customHeight="1">
      <c r="G311" s="2"/>
    </row>
    <row r="312" ht="15.75" customHeight="1">
      <c r="G312" s="2"/>
    </row>
    <row r="313" ht="15.75" customHeight="1">
      <c r="G313" s="2"/>
    </row>
    <row r="314" ht="15.75" customHeight="1">
      <c r="G314" s="2"/>
    </row>
    <row r="315" ht="15.75" customHeight="1">
      <c r="G315" s="2"/>
    </row>
    <row r="316" ht="15.75" customHeight="1">
      <c r="G316" s="2"/>
    </row>
    <row r="317" ht="15.75" customHeight="1">
      <c r="G317" s="2"/>
    </row>
    <row r="318" ht="15.75" customHeight="1">
      <c r="G318" s="2"/>
    </row>
    <row r="319" ht="15.75" customHeight="1">
      <c r="G319" s="2"/>
    </row>
    <row r="320" ht="15.75" customHeight="1">
      <c r="G320" s="2"/>
    </row>
    <row r="321" ht="15.75" customHeight="1">
      <c r="G321" s="2"/>
    </row>
    <row r="322" ht="15.75" customHeight="1">
      <c r="G322" s="2"/>
    </row>
    <row r="323" ht="15.75" customHeight="1">
      <c r="G323" s="2"/>
    </row>
    <row r="324" ht="15.75" customHeight="1">
      <c r="G324" s="2"/>
    </row>
    <row r="325" ht="15.75" customHeight="1">
      <c r="G325" s="2"/>
    </row>
    <row r="326" ht="15.75" customHeight="1">
      <c r="G326" s="2"/>
    </row>
    <row r="327" ht="15.75" customHeight="1">
      <c r="G327" s="2"/>
    </row>
    <row r="328" ht="15.75" customHeight="1">
      <c r="G328" s="2"/>
    </row>
    <row r="329" ht="15.75" customHeight="1">
      <c r="G329" s="2"/>
    </row>
    <row r="330" ht="15.75" customHeight="1">
      <c r="G330" s="2"/>
    </row>
    <row r="331" ht="15.75" customHeight="1">
      <c r="G331" s="2"/>
    </row>
    <row r="332" ht="15.75" customHeight="1">
      <c r="G332" s="2"/>
    </row>
    <row r="333" ht="15.75" customHeight="1">
      <c r="G333" s="2"/>
    </row>
    <row r="334" ht="15.75" customHeight="1">
      <c r="G334" s="2"/>
    </row>
    <row r="335" ht="15.75" customHeight="1">
      <c r="G335" s="2"/>
    </row>
    <row r="336" ht="15.75" customHeight="1">
      <c r="G336" s="2"/>
    </row>
    <row r="337" ht="15.75" customHeight="1">
      <c r="G337" s="2"/>
    </row>
    <row r="338" ht="15.75" customHeight="1">
      <c r="G338" s="2"/>
    </row>
    <row r="339" ht="15.75" customHeight="1">
      <c r="G339" s="2"/>
    </row>
    <row r="340" ht="15.75" customHeight="1">
      <c r="G340" s="2"/>
    </row>
    <row r="341" ht="15.75" customHeight="1">
      <c r="G341" s="2"/>
    </row>
    <row r="342" ht="15.75" customHeight="1">
      <c r="G342" s="2"/>
    </row>
    <row r="343" ht="15.75" customHeight="1">
      <c r="G343" s="2"/>
    </row>
    <row r="344" ht="15.75" customHeight="1">
      <c r="G344" s="2"/>
    </row>
    <row r="345" ht="15.75" customHeight="1">
      <c r="G345" s="2"/>
    </row>
    <row r="346" ht="15.75" customHeight="1">
      <c r="G346" s="2"/>
    </row>
    <row r="347" ht="15.75" customHeight="1">
      <c r="G347" s="2"/>
    </row>
    <row r="348" ht="15.75" customHeight="1">
      <c r="G348" s="2"/>
    </row>
    <row r="349" ht="15.75" customHeight="1">
      <c r="G349" s="2"/>
    </row>
    <row r="350" ht="15.75" customHeight="1">
      <c r="G350" s="2"/>
    </row>
    <row r="351" ht="15.75" customHeight="1">
      <c r="G351" s="2"/>
    </row>
    <row r="352" ht="15.75" customHeight="1">
      <c r="G352" s="2"/>
    </row>
    <row r="353" ht="15.75" customHeight="1">
      <c r="G353" s="2"/>
    </row>
    <row r="354" ht="15.75" customHeight="1">
      <c r="G354" s="2"/>
    </row>
    <row r="355" ht="15.75" customHeight="1">
      <c r="G355" s="2"/>
    </row>
    <row r="356" ht="15.75" customHeight="1">
      <c r="G356" s="2"/>
    </row>
    <row r="357" ht="15.75" customHeight="1">
      <c r="G357" s="2"/>
    </row>
    <row r="358" ht="15.75" customHeight="1">
      <c r="G358" s="2"/>
    </row>
    <row r="359" ht="15.75" customHeight="1">
      <c r="G359" s="2"/>
    </row>
    <row r="360" ht="15.75" customHeight="1">
      <c r="G360" s="2"/>
    </row>
    <row r="361" ht="15.75" customHeight="1">
      <c r="G361" s="2"/>
    </row>
    <row r="362" ht="15.75" customHeight="1">
      <c r="G362" s="2"/>
    </row>
    <row r="363" ht="15.75" customHeight="1">
      <c r="G363" s="2"/>
    </row>
    <row r="364" ht="15.75" customHeight="1">
      <c r="G364" s="2"/>
    </row>
    <row r="365" ht="15.75" customHeight="1">
      <c r="G365" s="2"/>
    </row>
    <row r="366" ht="15.75" customHeight="1">
      <c r="G366" s="2"/>
    </row>
    <row r="367" ht="15.75" customHeight="1">
      <c r="G367" s="2"/>
    </row>
    <row r="368" ht="15.75" customHeight="1">
      <c r="G368" s="2"/>
    </row>
    <row r="369" ht="15.75" customHeight="1">
      <c r="G369" s="2"/>
    </row>
    <row r="370" ht="15.75" customHeight="1">
      <c r="G370" s="2"/>
    </row>
    <row r="371" ht="15.75" customHeight="1">
      <c r="G371" s="2"/>
    </row>
    <row r="372" ht="15.75" customHeight="1">
      <c r="G372" s="2"/>
    </row>
    <row r="373" ht="15.75" customHeight="1">
      <c r="G373" s="2"/>
    </row>
    <row r="374" ht="15.75" customHeight="1">
      <c r="G374" s="2"/>
    </row>
    <row r="375" ht="15.75" customHeight="1">
      <c r="G375" s="2"/>
    </row>
    <row r="376" ht="15.75" customHeight="1">
      <c r="G376" s="2"/>
    </row>
    <row r="377" ht="15.75" customHeight="1">
      <c r="G377" s="2"/>
    </row>
    <row r="378" ht="15.75" customHeight="1">
      <c r="G378" s="2"/>
    </row>
    <row r="379" ht="15.75" customHeight="1">
      <c r="G379" s="2"/>
    </row>
    <row r="380" ht="15.75" customHeight="1">
      <c r="G380" s="2"/>
    </row>
    <row r="381" ht="15.75" customHeight="1">
      <c r="G381" s="2"/>
    </row>
    <row r="382" ht="15.75" customHeight="1">
      <c r="G382" s="2"/>
    </row>
    <row r="383" ht="15.75" customHeight="1">
      <c r="G383" s="2"/>
    </row>
    <row r="384" ht="15.75" customHeight="1">
      <c r="G384" s="2"/>
    </row>
    <row r="385" ht="15.75" customHeight="1">
      <c r="G385" s="2"/>
    </row>
    <row r="386" ht="15.75" customHeight="1">
      <c r="G386" s="2"/>
    </row>
    <row r="387" ht="15.75" customHeight="1">
      <c r="G387" s="2"/>
    </row>
    <row r="388" ht="15.75" customHeight="1">
      <c r="G388" s="2"/>
    </row>
    <row r="389" ht="15.75" customHeight="1">
      <c r="G389" s="2"/>
    </row>
    <row r="390" ht="15.75" customHeight="1">
      <c r="G390" s="2"/>
    </row>
    <row r="391" ht="15.75" customHeight="1">
      <c r="G391" s="2"/>
    </row>
    <row r="392" ht="15.75" customHeight="1">
      <c r="G392" s="2"/>
    </row>
    <row r="393" ht="15.75" customHeight="1">
      <c r="G393" s="2"/>
    </row>
    <row r="394" ht="15.75" customHeight="1">
      <c r="G394" s="2"/>
    </row>
    <row r="395" ht="15.75" customHeight="1">
      <c r="G395" s="2"/>
    </row>
    <row r="396" ht="15.75" customHeight="1">
      <c r="G396" s="2"/>
    </row>
    <row r="397" ht="15.75" customHeight="1">
      <c r="G397" s="2"/>
    </row>
    <row r="398" ht="15.75" customHeight="1">
      <c r="G398" s="2"/>
    </row>
    <row r="399" ht="15.75" customHeight="1">
      <c r="G399" s="2"/>
    </row>
    <row r="400" ht="15.75" customHeight="1">
      <c r="G400" s="2"/>
    </row>
    <row r="401" ht="15.75" customHeight="1">
      <c r="G401" s="2"/>
    </row>
    <row r="402" ht="15.75" customHeight="1">
      <c r="G402" s="2"/>
    </row>
    <row r="403" ht="15.75" customHeight="1">
      <c r="G403" s="2"/>
    </row>
    <row r="404" ht="15.75" customHeight="1">
      <c r="G404" s="2"/>
    </row>
    <row r="405" ht="15.75" customHeight="1">
      <c r="G405" s="2"/>
    </row>
    <row r="406" ht="15.75" customHeight="1">
      <c r="G406" s="2"/>
    </row>
  </sheetData>
  <sheetProtection selectLockedCells="1" selectUnlockedCells="1"/>
  <mergeCells count="13">
    <mergeCell ref="G10:G11"/>
    <mergeCell ref="H10:H11"/>
    <mergeCell ref="I10:I11"/>
    <mergeCell ref="J10:J11"/>
    <mergeCell ref="K10:K11"/>
    <mergeCell ref="L10:L11"/>
    <mergeCell ref="B7:K8"/>
    <mergeCell ref="A10:A11"/>
    <mergeCell ref="B10:B11"/>
    <mergeCell ref="C10:C11"/>
    <mergeCell ref="D10:D11"/>
    <mergeCell ref="E10:E11"/>
    <mergeCell ref="F10:F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cp:lastPrinted>2022-04-28T12:13:03Z</cp:lastPrinted>
  <dcterms:modified xsi:type="dcterms:W3CDTF">2022-04-28T12:13:06Z</dcterms:modified>
  <cp:category/>
  <cp:version/>
  <cp:contentType/>
  <cp:contentStatus/>
</cp:coreProperties>
</file>